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45" yWindow="45" windowWidth="19320" windowHeight="12660" tabRatio="819" activeTab="0"/>
  </bookViews>
  <sheets>
    <sheet name="a_Contents" sheetId="1" r:id="rId1"/>
    <sheet name="b_Guidelines &amp; conditions" sheetId="2" r:id="rId2"/>
    <sheet name="A_InstallationData" sheetId="3" r:id="rId3"/>
    <sheet name="B_InitialSituation" sheetId="4" r:id="rId4"/>
    <sheet name="C_MergerSplitTransfer" sheetId="5" r:id="rId5"/>
    <sheet name="D_Summary" sheetId="6" r:id="rId6"/>
    <sheet name="I_MSspecific" sheetId="7" r:id="rId7"/>
    <sheet name="J_Comments" sheetId="8" r:id="rId8"/>
    <sheet name="EUwideConstants" sheetId="9" state="hidden" r:id="rId9"/>
    <sheet name="MSParameters" sheetId="10" state="hidden" r:id="rId10"/>
    <sheet name="Translations" sheetId="11" state="hidden" r:id="rId11"/>
    <sheet name="VersionDocumentation" sheetId="12" state="hidden" r:id="rId12"/>
  </sheets>
  <definedNames>
    <definedName name="_xlnm._FilterDatabase" localSheetId="10" hidden="1">'Translations'!$A$1:$C$1595</definedName>
    <definedName name="_xlnm.Print_Area" localSheetId="0">'a_Contents'!$B$6:$L$47</definedName>
    <definedName name="_xlnm.Print_Area" localSheetId="2">'A_InstallationData'!$C$5:$N$198</definedName>
    <definedName name="_xlnm.Print_Area" localSheetId="1">'b_Guidelines &amp; conditions'!$B$5:$L$103</definedName>
    <definedName name="_xlnm.Print_Area" localSheetId="6">'I_MSspecific'!$A$4:$M$29</definedName>
    <definedName name="_xlnm.Print_Area" localSheetId="7">'J_Comments'!$A$4:$M$40</definedName>
    <definedName name="_xlnm.Print_Area" localSheetId="11">'VersionDocumentation'!$A$1:$E$89</definedName>
    <definedName name="CNTR_AnnexIActivities">'A_InstallationData'!$Q$117:$Q$121</definedName>
    <definedName name="CNTR_ConnectionEntityList">'A_InstallationData'!$H$292:$H$301</definedName>
    <definedName name="CNTR_ConnectionEntityListCITL_IDs">'A_InstallationData'!$J$292:$J$301</definedName>
    <definedName name="CNTR_ConnectionEntityListTypes">'A_InstallationData'!$K$292:$K$301</definedName>
    <definedName name="CNTR_ConnectionListAndWithinInst">'A_InstallationData'!$H$291:$H$301</definedName>
    <definedName name="CNTR_ExistConnectionEntries">'A_InstallationData'!$G$304</definedName>
    <definedName name="CNTR_HasEntries_A_I">'A_InstallationData'!$G$282</definedName>
    <definedName name="CNTR_HasEntries_A_II">'A_InstallationData'!$G$283</definedName>
    <definedName name="CNTR_Merger">'A_InstallationData'!$Q$13</definedName>
    <definedName name="CNTR_MergerORSplitORTransfer">'A_InstallationData'!$R$15</definedName>
    <definedName name="CNTR_MissingData">'EUwideConstants'!$I$304:$I$309</definedName>
    <definedName name="CNTR_OnlyCombustion">'A_InstallationData'!$S$117</definedName>
    <definedName name="CNTR_TemplateVersion">'a_Contents'!$H$33</definedName>
    <definedName name="CNTR_UniqueID">'A_InstallationData'!$J$64</definedName>
    <definedName name="CNTR_YearMergerSplit">'A_InstallationData'!$R$18</definedName>
    <definedName name="EUconst_182CUF">'EUwideConstants'!$B$117</definedName>
    <definedName name="EUconst_30DayOrCalendarMonth">'EUwideConstants'!$B$68:$C$68</definedName>
    <definedName name="EUconst_AbsRel">'EUwideConstants'!$B$8:$C$8</definedName>
    <definedName name="EUconst_AdjF">'EUwideConstants'!$B$119</definedName>
    <definedName name="EUconst_AllocPrelim2013">'EUwideConstants'!$B$141</definedName>
    <definedName name="EUconst_Allowances">'EUwideConstants'!$B$92</definedName>
    <definedName name="EUconst_AllSubInstList">'EUwideConstants'!$E$317:$E$374</definedName>
    <definedName name="EUconst_AnnexIActivities">'EUwideConstants'!$B$216:$B$243</definedName>
    <definedName name="EUconst_ApplicationType">'EUwideConstants'!$B$61:$D$61</definedName>
    <definedName name="EUconst_BaselinePeriods">'EUwideConstants'!$B$5:$C$5</definedName>
    <definedName name="EUconst_BM">'EUwideConstants'!$B$17</definedName>
    <definedName name="EUconst_BMlist107">'EUwideConstants'!$E$275:$E$277</definedName>
    <definedName name="EUconst_BMlistBMvalues">'EUwideConstants'!$H$249:$H$300</definedName>
    <definedName name="EUconst_BMlistCLstatus">'EUwideConstants'!$G$249:$G$300</definedName>
    <definedName name="EUconst_BMlistElExchangability">'EUwideConstants'!$I$249:$I$300</definedName>
    <definedName name="EUconst_BMlistMatrix">'EUwideConstants'!$E$249:$I$300</definedName>
    <definedName name="EUconst_BMlistNames">'EUwideConstants'!$E$249:$E$300</definedName>
    <definedName name="EUconst_BMlistNumberOfActivity">'EUwideConstants'!$B$249:$B$300</definedName>
    <definedName name="EUconst_BMlistNumberOfBM">'EUwideConstants'!$C$249:$C$300</definedName>
    <definedName name="EUconst_BMlistSCUFvalues">'EUwideConstants'!$L$249:$L$300</definedName>
    <definedName name="EUconst_BMlistSpecialJumpTable">'EUwideConstants'!$K$249:$K$300</definedName>
    <definedName name="EUconst_BMlistSpecialReporting">'EUwideConstants'!$J$249:$J$300</definedName>
    <definedName name="EUconst_BMlistUnits">'EUwideConstants'!$F$249:$F$300</definedName>
    <definedName name="EUconst_BMSubinst">'EUwideConstants'!$B$25</definedName>
    <definedName name="EUconst_CapacityInitial">'EUwideConstants'!$B$132</definedName>
    <definedName name="Euconst_CapacitySource">'EUwideConstants'!$B$166:$G$166</definedName>
    <definedName name="EUconst_CEMSSource">'EUwideConstants'!$B$21</definedName>
    <definedName name="Euconst_CessationReason">'EUwideConstants'!$B$167:$F$167</definedName>
    <definedName name="EUconst_ChangeType">'EUwideConstants'!$B$64:$G$64</definedName>
    <definedName name="EUconst_ChangeType0">'EUwideConstants'!$B$63:$F$63</definedName>
    <definedName name="EUconst_ChangeType1">'EUwideConstants'!$B$65:$E$65</definedName>
    <definedName name="EUconst_CLnonCL">'EUwideConstants'!$B$83:$C$83</definedName>
    <definedName name="EUconst_CNTR_CAP">'EUwideConstants'!$B$105</definedName>
    <definedName name="EUconst_CNTR_CAP2Months">'EUwideConstants'!$B$106</definedName>
    <definedName name="EUconst_CNTR_CAPDelta">'EUwideConstants'!$B$109</definedName>
    <definedName name="EUconst_CNTR_CAPINI">'EUwideConstants'!$B$107</definedName>
    <definedName name="EUconst_CNTR_CAPNEW">'EUwideConstants'!$B$108</definedName>
    <definedName name="EUconst_CNTR_Check10Pct">'EUwideConstants'!$B$110</definedName>
    <definedName name="EUconst_CNTR_Check5Pct">'EUwideConstants'!$B$111</definedName>
    <definedName name="EUconst_CNTR_DesignCAP">'EUwideConstants'!$B$104</definedName>
    <definedName name="EUconst_CNTR_ELEXCH">'EUwideConstants'!$B$124</definedName>
    <definedName name="EUconst_CNTR_EmiBeforeStart">'EUwideConstants'!$B$102</definedName>
    <definedName name="EUconst_CNTR_Finitial">'EUwideConstants'!$B$103</definedName>
    <definedName name="EUconst_CNTR_HAL">'EUwideConstants'!$B$122</definedName>
    <definedName name="EUconst_CNTR_HALAdded">'EUwideConstants'!$B$112</definedName>
    <definedName name="EUconst_CNTR_HALspecial">'EUwideConstants'!$B$123</definedName>
    <definedName name="EUconst_CNTR_HEAT">'EUwideConstants'!$B$127</definedName>
    <definedName name="EUconst_CNTR_HVC">'EUwideConstants'!$B$129</definedName>
    <definedName name="EUconst_CNTR_nonETSMeasHeat">'EUwideConstants'!$B$157</definedName>
    <definedName name="EUconst_CNTR_PartCessALini">'EUwideConstants'!$B$113</definedName>
    <definedName name="EUconst_CNTR_PartCessAllocIni">'EUwideConstants'!$B$115</definedName>
    <definedName name="EUconst_CNTR_PartCessAllocLini">'EUwideConstants'!$B$115</definedName>
    <definedName name="EUconst_CNTR_PartCessALnew">'EUwideConstants'!$B$114</definedName>
    <definedName name="EUconst_CNTR_PeriodGreenfield">'EUwideConstants'!$B$116</definedName>
    <definedName name="EUconst_CNTR_PulpPaper">'EUwideConstants'!$B$125</definedName>
    <definedName name="EUconst_CNTR_SIG">'EUwideConstants'!$B$126</definedName>
    <definedName name="EUconst_CNTR_VCM">'EUwideConstants'!$B$128</definedName>
    <definedName name="EUconst_CombustionActivity">'EUwideConstants'!$B$216</definedName>
    <definedName name="EUconst_ConfirmAllowUseOfData">'EUwideConstants'!$B$95</definedName>
    <definedName name="EUconst_ConfirmApplicationForAlloc">'EUwideConstants'!$B$94:$B$94</definedName>
    <definedName name="EUconst_ConfirmationNotEligible">'EUwideConstants'!$B$93:$B$93</definedName>
    <definedName name="EUconst_ConfirmCessation">'EUwideConstants'!$B$96</definedName>
    <definedName name="EUconst_ConfirmMergerSplit">'EUwideConstants'!$B$210</definedName>
    <definedName name="EUconst_ConnectedEntityTypes">'EUwideConstants'!$B$69:$E$69</definedName>
    <definedName name="EUconst_ConnectionShortTypes">'EUwideConstants'!$B$71:$D$71</definedName>
    <definedName name="EUconst_ConnectionTransferTypes">'EUwideConstants'!$B$72:$C$72</definedName>
    <definedName name="EUconst_ConnectionTypes">'EUwideConstants'!$B$70:$D$70</definedName>
    <definedName name="EUconst_CWTpa">'EUwideConstants'!$B$91</definedName>
    <definedName name="EUconst_DateMissing">'EUwideConstants'!$B$148</definedName>
    <definedName name="EUconst_Days">'EUwideConstants'!$B$3:$AF$3</definedName>
    <definedName name="EUconst_ElBM">'EUwideConstants'!$B$78</definedName>
    <definedName name="EUconst_ERR_40pct">'EUwideConstants'!$B$171</definedName>
    <definedName name="EUconst_ERR_ActivityMissing">'EUwideConstants'!$B$199</definedName>
    <definedName name="EUconst_ERR_Capacity0.9">'EUwideConstants'!$B$170</definedName>
    <definedName name="EUconst_ERR_Capacity1.1">'EUwideConstants'!$B$169</definedName>
    <definedName name="EUconst_ERR_CessationIteme">'EUwideConstants'!$B$179</definedName>
    <definedName name="EUconst_ERR_DatesBeforeJuly2011">'EUwideConstants'!$B$197</definedName>
    <definedName name="EUconst_ERR_DatesSorting">'EUwideConstants'!$B$195</definedName>
    <definedName name="EUconst_ERR_DoubleBMentry">'EUwideConstants'!$B$180</definedName>
    <definedName name="EUconst_ERR_FirstSub">'EUwideConstants'!$B$172</definedName>
    <definedName name="EUconst_ERR_Goto_DI2">'EUwideConstants'!$B$185</definedName>
    <definedName name="EUconst_ERR_InitialDateMissing">'EUwideConstants'!$B$198</definedName>
    <definedName name="EUconst_ERR_Mandatory_abd">'EUwideConstants'!$B$175</definedName>
    <definedName name="EUconst_ERR_Mandatory_ApplicationType">'EUwideConstants'!$B$174</definedName>
    <definedName name="EUconst_ERR_Mandatory_Bbc">'EUwideConstants'!$B$183</definedName>
    <definedName name="EUconst_ERR_Mandatory_ef">'EUwideConstants'!$B$176</definedName>
    <definedName name="EUconst_ERR_Mandatory_g">'EUwideConstants'!$B$177</definedName>
    <definedName name="EUconst_ERR_MandatoryDII3a">'EUwideConstants'!$B$187</definedName>
    <definedName name="EUconst_ERR_MandatoryEII4">'EUwideConstants'!$B$186</definedName>
    <definedName name="EUconst_ERR_MissingFallBackEntry">'EUwideConstants'!$B$182</definedName>
    <definedName name="EUconst_ERR_MissingSubInstEntry">'EUwideConstants'!$B$181</definedName>
    <definedName name="EUconst_ERR_NewSub">'EUwideConstants'!$B$173</definedName>
    <definedName name="EUconst_ERR_NoSignificantChange">'EUwideConstants'!$B$178</definedName>
    <definedName name="EUconst_ERR_PartialCessation">'EUwideConstants'!$B$168</definedName>
    <definedName name="EUconst_ERR_RangeOfStartingDate">'EUwideConstants'!$B$196</definedName>
    <definedName name="EUconst_ERR_Rounding">'EUwideConstants'!$B$212</definedName>
    <definedName name="EUconst_ERR_StartWithFuels">'EUwideConstants'!$B$184</definedName>
    <definedName name="EUconst_Error">'EUwideConstants'!$B$140</definedName>
    <definedName name="EUconst_EUA">'EUwideConstants'!$B$13</definedName>
    <definedName name="EUconst_EUApa">'EUwideConstants'!$B$40</definedName>
    <definedName name="EUconst_EUApt">'EUwideConstants'!$B$41</definedName>
    <definedName name="EUconst_Experimental">'EUwideConstants'!$B$164</definedName>
    <definedName name="EUconst_FallBackListBMvalues">'EUwideConstants'!$H$304:$H$309</definedName>
    <definedName name="EUconst_FallBackListCLstatus">'EUwideConstants'!$G$304:$G$309</definedName>
    <definedName name="EUconst_FallBackListMatrix">'EUwideConstants'!$E$304:$I$309</definedName>
    <definedName name="EUconst_FallBackListNames">'EUwideConstants'!$E$304:$E$309</definedName>
    <definedName name="EUconst_FallBackListNumber">'EUwideConstants'!$C$304:$C$309</definedName>
    <definedName name="EUconst_FallBackListUnits">'EUwideConstants'!$F$304:$F$309</definedName>
    <definedName name="EUconst_FBSubinst">'EUwideConstants'!$B$26</definedName>
    <definedName name="EUconst_Fuel">'EUwideConstants'!$B$16</definedName>
    <definedName name="EUconst_FuelBMvalue">'EUwideConstants'!$B$79</definedName>
    <definedName name="EUconst_FuelUseTypes">'EUwideConstants'!$B$75:$E$75</definedName>
    <definedName name="EUconst_GJ">'EUwideConstants'!$B$31</definedName>
    <definedName name="EUconst_GJpa">'EUwideConstants'!$B$43</definedName>
    <definedName name="EUconst_GJperTorKNm3">'EUwideConstants'!$B$86:$C$86</definedName>
    <definedName name="EUconst_GJperUnit">'EUwideConstants'!$B$89</definedName>
    <definedName name="EUconst_GJpt">'EUwideConstants'!$B$42</definedName>
    <definedName name="EUconst_HAL96capacity">'EUwideConstants'!$B$130</definedName>
    <definedName name="EUconst_HAL96RCUF">'EUwideConstants'!$B$131</definedName>
    <definedName name="EUconst_HAL99changed">'EUwideConstants'!$B$136</definedName>
    <definedName name="EUconst_HAL99deltaC">'EUwideConstants'!$B$135</definedName>
    <definedName name="EUconst_HAL99initial">'EUwideConstants'!$B$133</definedName>
    <definedName name="EUconst_HAL99total">'EUwideConstants'!$B$137</definedName>
    <definedName name="EUconst_HAL99unchanged">'EUwideConstants'!$B$134</definedName>
    <definedName name="EUconst_HALsum">'EUwideConstants'!$B$138</definedName>
    <definedName name="EUconst_HCUF">'EUwideConstants'!$B$139</definedName>
    <definedName name="EUconst_HCUFmissing">'EUwideConstants'!$B$150</definedName>
    <definedName name="EUconst_HCUFrange">'EUwideConstants'!$B$152</definedName>
    <definedName name="EUconst_HeatBMvalue">'EUwideConstants'!$B$77</definedName>
    <definedName name="EUconst_HeatToolComplex">'EUwideConstants'!$B$161</definedName>
    <definedName name="EUconst_HeatToolSelection">'EUwideConstants'!$B$162:$C$162</definedName>
    <definedName name="EUconst_HeatToolSimple">'EUwideConstants'!$B$160</definedName>
    <definedName name="EUconst_HeatUseTypes">'EUwideConstants'!$B$74:$F$74</definedName>
    <definedName name="EUconst_HouseholdReportMethods">'EUwideConstants'!$B$143:$C$143</definedName>
    <definedName name="EUconst_Households">'EUwideConstants'!$B$156</definedName>
    <definedName name="EUconst_Incomplete">'EUwideConstants'!$B$144</definedName>
    <definedName name="EUconst_Inconsistent">'EUwideConstants'!$B$146</definedName>
    <definedName name="EUconst_kNm3pa">'EUwideConstants'!$B$84</definedName>
    <definedName name="EUconst_LatestChange">'EUwideConstants'!$B$163</definedName>
    <definedName name="EUconst_Manual">'EUwideConstants'!$B$149</definedName>
    <definedName name="EUconst_MBSource">'EUwideConstants'!$B$20</definedName>
    <definedName name="EUconst_MergerSplitOrTransfer">'EUwideConstants'!$B$211:$D$211</definedName>
    <definedName name="EUconst_min">'EUwideConstants'!$B$50</definedName>
    <definedName name="EUconst_minpcelld">'EUwideConstants'!$B$51</definedName>
    <definedName name="EUconst_MNm3pa">'EUwideConstants'!$B$90</definedName>
    <definedName name="EUconst_Month">'EUwideConstants'!$B$15</definedName>
    <definedName name="EUconst_Months">'EUwideConstants'!$B$4:$M$4</definedName>
    <definedName name="EUconst_MsgApplyArt96">'EUwideConstants'!$B$206</definedName>
    <definedName name="EUconst_MsgBackToSheetF">'EUwideConstants'!$B$203</definedName>
    <definedName name="EUconst_MsgEnterThisSection">'EUwideConstants'!$B$200</definedName>
    <definedName name="EUconst_MsgGoOn">'EUwideConstants'!$B$191</definedName>
    <definedName name="EUconst_MsgGoOn_cd">'EUwideConstants'!$B$204</definedName>
    <definedName name="EUconst_MsgGoOn_d">'EUwideConstants'!$B$193</definedName>
    <definedName name="EUconst_MsgGoOn_e">'EUwideConstants'!$B$205</definedName>
    <definedName name="EUconst_MsgGoOnIfNotRelevant">'EUwideConstants'!$B$194</definedName>
    <definedName name="EUconst_MsgGoToNextSheet">'EUwideConstants'!$B$201</definedName>
    <definedName name="EUconst_MsgGoToNextSubInst">'EUwideConstants'!$B$202</definedName>
    <definedName name="EUconst_MsgNewEntrant">'EUwideConstants'!$B$62</definedName>
    <definedName name="EUConst_MsgPartCessCritFulfilled">'EUwideConstants'!$B$121</definedName>
    <definedName name="EUconst_MsgProceedEII2">'EUwideConstants'!$B$190</definedName>
    <definedName name="EUconst_MsgProceedF">'EUwideConstants'!$B$189</definedName>
    <definedName name="EUconst_MsgSeeFirst">'EUwideConstants'!$B$188</definedName>
    <definedName name="EUconst_MsgUseElExchTool">'EUwideConstants'!$B$192</definedName>
    <definedName name="EUconst_MSlist">'EUwideConstants'!$B$158:$AF$158</definedName>
    <definedName name="EUconst_MSlistISOcodes">'EUwideConstants'!$B$159:$AF$159</definedName>
    <definedName name="EUconst_mV">'EUwideConstants'!$B$53</definedName>
    <definedName name="EUconst_MWh">'EUwideConstants'!$B$36</definedName>
    <definedName name="EUconst_MWhpa">'EUwideConstants'!$B$37</definedName>
    <definedName name="EUconst_N2OSource">'EUwideConstants'!$B$22</definedName>
    <definedName name="EUconst_NA">'EUwideConstants'!$B$12</definedName>
    <definedName name="EUconst_Negative">'EUwideConstants'!$B$145</definedName>
    <definedName name="EUconst_NormalOrChanged">'EUwideConstants'!$B$67:$C$67</definedName>
    <definedName name="EUconst_NotEligible">'EUwideConstants'!$B$155</definedName>
    <definedName name="EUconst_NotRelevant">'EUwideConstants'!$B$81</definedName>
    <definedName name="EUconst_OK">'EUwideConstants'!$B$147</definedName>
    <definedName name="EUconst_Or">'EUwideConstants'!$B$57</definedName>
    <definedName name="EUconst_PartCessAdjF">'EUwideConstants'!$F$312:$F$315</definedName>
    <definedName name="EUconst_PartCessALred">'EUwideConstants'!$E$312:$E$315</definedName>
    <definedName name="EUconst_PartCessMessage">'EUwideConstants'!$G$312:$G$315</definedName>
    <definedName name="EUConst_PartCessYear">'EUwideConstants'!$B$120</definedName>
    <definedName name="EUconst_PFCmethods">'EUwideConstants'!$B$142:$C$142</definedName>
    <definedName name="EUconst_PFCSource">'EUwideConstants'!$B$23</definedName>
    <definedName name="EUconst_PointA">'EUwideConstants'!$B$165</definedName>
    <definedName name="EUconst_PrivateHouseholds">'EUwideConstants'!$B$10</definedName>
    <definedName name="EUconst_ProcessEmissionTypes">'EUwideConstants'!$B$76:$J$76</definedName>
    <definedName name="EUconst_ProcessSource">'EUwideConstants'!$B$19</definedName>
    <definedName name="EUconst_PulpPlacedOnMarket">'EUwideConstants'!$B$207</definedName>
    <definedName name="EUconst_RatioRange">'EUwideConstants'!$B$154</definedName>
    <definedName name="EUconst_RCUFmissing">'EUwideConstants'!$B$151</definedName>
    <definedName name="EUconst_RCUFrange">'EUwideConstants'!$B$153</definedName>
    <definedName name="EUconst_Relevant">'EUwideConstants'!$B$80</definedName>
    <definedName name="EUconst_RelevantAmountPulp">'EUwideConstants'!$B$208</definedName>
    <definedName name="EUconst_RelevantNotRelevant">'EUwideConstants'!$B$82:$C$82</definedName>
    <definedName name="EUconst_relOrMWhpa">'EUwideConstants'!$B$59</definedName>
    <definedName name="EUconst_relOrtCO2pa">'EUwideConstants'!$B$60</definedName>
    <definedName name="EUconst_relOrTJpa">'EUwideConstants'!$B$58</definedName>
    <definedName name="EUconst_ReportingYears">'EUwideConstants'!$B$2:$K$2</definedName>
    <definedName name="EUconst_StartDate">'EUwideConstants'!$B$118</definedName>
    <definedName name="EUconst_SubInst17">'EUwideConstants'!$B$66:$C$66</definedName>
    <definedName name="EUconst_SubInstallation">'EUwideConstants'!$B$18</definedName>
    <definedName name="EUconst_SumBioCO2">'EUwideConstants'!$B$98</definedName>
    <definedName name="EUconst_SumCO2">'EUwideConstants'!$B$97</definedName>
    <definedName name="EUconst_SumEnergyIN">'EUwideConstants'!$B$99</definedName>
    <definedName name="EUconst_SumN2O">'EUwideConstants'!$B$100</definedName>
    <definedName name="EUconst_SumPFC">'EUwideConstants'!$B$101</definedName>
    <definedName name="EUconst_t">'EUwideConstants'!$B$38</definedName>
    <definedName name="EUconst_tCO2">'EUwideConstants'!$B$33</definedName>
    <definedName name="EUconst_tCO2e">'EUwideConstants'!$B$32</definedName>
    <definedName name="EUconst_tCO2epa">'EUwideConstants'!$B$49</definedName>
    <definedName name="EUconst_tCO2ept">'EUwideConstants'!$B$56</definedName>
    <definedName name="EUconst_tCO2eptN2O">'EUwideConstants'!$B$48</definedName>
    <definedName name="EUconst_tCO2pa">'EUwideConstants'!$B$45</definedName>
    <definedName name="EUconst_tCO2pkNm3">'EUwideConstants'!$B$88</definedName>
    <definedName name="EUconst_tCO2pt">'EUwideConstants'!$B$46</definedName>
    <definedName name="EUconst_tCO2pTJ">'EUwideConstants'!$B$44</definedName>
    <definedName name="EUconst_tCO2pTJorT">'EUwideConstants'!$B$87:$D$87</definedName>
    <definedName name="EUconst_TJ">'EUwideConstants'!$B$30</definedName>
    <definedName name="EUconst_TJpa">'EUwideConstants'!$B$35</definedName>
    <definedName name="EUconst_tN2O">'EUwideConstants'!$B$34</definedName>
    <definedName name="EUconst_tN2Opa">'EUwideConstants'!$B$47</definedName>
    <definedName name="EUconst_TonnesOrkNm3pa">'EUwideConstants'!$B$85:$C$85</definedName>
    <definedName name="EUconst_Tons">'EUwideConstants'!$B$29</definedName>
    <definedName name="EUconst_TotAdded">'EUwideConstants'!$B$9:$C$9</definedName>
    <definedName name="EUconst_TotFreeAlloc">'EUwideConstants'!$B$11</definedName>
    <definedName name="EUconst_tpa">'EUwideConstants'!$B$39</definedName>
    <definedName name="EUconst_TransfSource">'EUwideConstants'!$B$24</definedName>
    <definedName name="Euconst_TrueFalse">'EUwideConstants'!$B$6:$C$6</definedName>
    <definedName name="Euconst_TrueFalseNA">'EUwideConstants'!$B$7:$D$7</definedName>
    <definedName name="EUconst_Unit">'EUwideConstants'!$B$14</definedName>
    <definedName name="EUconst_unitOvervoltF">'EUwideConstants'!$B$54</definedName>
    <definedName name="EUconst_unitRelPFC">'EUwideConstants'!$B$55</definedName>
    <definedName name="EUconst_unitSlopeF">'EUwideConstants'!$B$52</definedName>
    <definedName name="EUconst_WithinInst">'EUwideConstants'!$B$73</definedName>
    <definedName name="EUconst_Year">'EUwideConstants'!$B$27</definedName>
    <definedName name="JUMP_A_Bottom">'A_InstallationData'!$D$274</definedName>
    <definedName name="JUMP_A_I">'A_InstallationData'!$D$42</definedName>
    <definedName name="JUMP_A_I1">'A_InstallationData'!$C$46</definedName>
    <definedName name="JUMP_A_I2">'A_InstallationData'!$B$97:$N$110</definedName>
    <definedName name="JUMP_A_I4">'A_InstallationData'!$B$112</definedName>
    <definedName name="JUMP_A_IV1">'A_InstallationData'!$C$149</definedName>
    <definedName name="JUMP_A_Top">'A_InstallationData'!$C$6</definedName>
    <definedName name="JUMP_A_VI">'A_InstallationData'!$C$147</definedName>
    <definedName name="JUMP_Coverpage_Bottom">'a_Contents'!$D$47</definedName>
    <definedName name="JUMP_Coverpage_Top">'a_Contents'!$C$6</definedName>
    <definedName name="JUMP_Guidelines_Bottom">'b_Guidelines &amp; conditions'!$C$104</definedName>
    <definedName name="JUMP_Guidelines_Home">'b_Guidelines &amp; conditions'!$C$8</definedName>
    <definedName name="JUMP_I_Bottom">'I_MSspecific'!$C$30</definedName>
    <definedName name="JUMP_I_MSspecific">'I_MSspecific'!$C$7</definedName>
    <definedName name="JUMP_I_Top">'I_MSspecific'!$B$5</definedName>
    <definedName name="JUMP_J_I">'J_Comments'!$C$7</definedName>
    <definedName name="JUMP_J_II">'J_Comments'!$C$28</definedName>
    <definedName name="JUMP_J_Top">'J_Comments'!$B$5</definedName>
    <definedName name="JUMP_TOC_Home">'a_Contents'!$B$6</definedName>
    <definedName name="MSconst_FuelCategoryList">'MSParameters'!$A$20:$A$73</definedName>
    <definedName name="MSconst_RequireConnectedInstContact">'MSParameters'!$B$3</definedName>
    <definedName name="MSconst_RequireDetailedProductionData">'MSParameters'!$B$4</definedName>
    <definedName name="MSconst_RequireDetailesFallBack">'MSParameters'!$B$5</definedName>
    <definedName name="MSconst_RequirePermitInfo">'MSParameters'!$B$2</definedName>
  </definedNames>
  <calcPr fullCalcOnLoad="1"/>
</workbook>
</file>

<file path=xl/comments12.xml><?xml version="1.0" encoding="utf-8"?>
<comments xmlns="http://schemas.openxmlformats.org/spreadsheetml/2006/main">
  <authors>
    <author>Fallmann Hubert</author>
  </authors>
  <commentList>
    <comment ref="C12" authorId="0">
      <text>
        <r>
          <rPr>
            <b/>
            <sz val="9"/>
            <rFont val="Tahoma"/>
            <family val="2"/>
          </rPr>
          <t>Originally, this was "NER application", but changed with distribution of the NE&amp;C UBA tool.</t>
        </r>
      </text>
    </comment>
    <comment ref="C11" authorId="0">
      <text>
        <r>
          <rPr>
            <b/>
            <sz val="9"/>
            <rFont val="Tahoma"/>
            <family val="2"/>
          </rPr>
          <t>Originally, this was "NER application", but changed with distribution of the NE&amp;C UBA tool.</t>
        </r>
      </text>
    </comment>
  </commentList>
</comments>
</file>

<file path=xl/comments3.xml><?xml version="1.0" encoding="utf-8"?>
<comments xmlns="http://schemas.openxmlformats.org/spreadsheetml/2006/main">
  <authors>
    <author>Fallmann Hubert</author>
  </authors>
  <commentList>
    <comment ref="H291" authorId="0">
      <text>
        <r>
          <rPr>
            <b/>
            <sz val="9"/>
            <rFont val="Tahoma"/>
            <family val="2"/>
          </rPr>
          <t>Needed for heat sub-installation, and for nitric acid</t>
        </r>
      </text>
    </comment>
  </commentList>
</comments>
</file>

<file path=xl/comments9.xml><?xml version="1.0" encoding="utf-8"?>
<comments xmlns="http://schemas.openxmlformats.org/spreadsheetml/2006/main">
  <authors>
    <author>Hubert Fallmann</author>
  </authors>
  <commentList>
    <comment ref="B133" authorId="0">
      <text>
        <r>
          <rPr>
            <b/>
            <sz val="9"/>
            <rFont val="Tahoma"/>
            <family val="2"/>
          </rPr>
          <t>Identical to HAL96_total</t>
        </r>
      </text>
    </comment>
    <comment ref="G267" authorId="0">
      <text>
        <r>
          <rPr>
            <b/>
            <sz val="9"/>
            <rFont val="Tahoma"/>
            <family val="2"/>
          </rPr>
          <t>In line with CCC vote of 19.5.2011</t>
        </r>
      </text>
    </comment>
    <comment ref="G268" authorId="0">
      <text>
        <r>
          <rPr>
            <b/>
            <sz val="9"/>
            <rFont val="Tahoma"/>
            <family val="2"/>
          </rPr>
          <t>In line with CCC vote of 19.5.2011</t>
        </r>
      </text>
    </comment>
    <comment ref="G269" authorId="0">
      <text>
        <r>
          <rPr>
            <b/>
            <sz val="9"/>
            <rFont val="Tahoma"/>
            <family val="2"/>
          </rPr>
          <t>In line with CCC vote of 19.5.2011</t>
        </r>
      </text>
    </comment>
    <comment ref="G271" authorId="0">
      <text>
        <r>
          <rPr>
            <b/>
            <sz val="9"/>
            <rFont val="Tahoma"/>
            <family val="2"/>
          </rPr>
          <t>In line with CCC vote of April 2012</t>
        </r>
      </text>
    </comment>
    <comment ref="L304" authorId="0">
      <text>
        <r>
          <rPr>
            <sz val="9"/>
            <rFont val="Tahoma"/>
            <family val="2"/>
          </rPr>
          <t>Only for completeness during macro processing… 
Not needed for Calculations</t>
        </r>
      </text>
    </comment>
  </commentList>
</comments>
</file>

<file path=xl/sharedStrings.xml><?xml version="1.0" encoding="utf-8"?>
<sst xmlns="http://schemas.openxmlformats.org/spreadsheetml/2006/main" count="2669" uniqueCount="2109">
  <si>
    <t>CHANGED!</t>
  </si>
  <si>
    <t>EUconst_CNTR_EmiBeforeStart</t>
  </si>
  <si>
    <t>EmiBeforeStart_</t>
  </si>
  <si>
    <t>EUconst_month</t>
  </si>
  <si>
    <t>EUconst_CNTR_PulpPaper</t>
  </si>
  <si>
    <t>PulpPaper107_</t>
  </si>
  <si>
    <t>EUconst_ChangeType</t>
  </si>
  <si>
    <t>EUconst_CNTR_DesignCAP</t>
  </si>
  <si>
    <t>DesignCAP_</t>
  </si>
  <si>
    <t>Partial cessation adjustment factor</t>
  </si>
  <si>
    <t>AdjF</t>
  </si>
  <si>
    <t>AL reduction</t>
  </si>
  <si>
    <t>EUconst_AdjF</t>
  </si>
  <si>
    <t>AdjF_</t>
  </si>
  <si>
    <t>missing data</t>
  </si>
  <si>
    <t>E.II !</t>
  </si>
  <si>
    <t>E.I !</t>
  </si>
  <si>
    <t>D.II !</t>
  </si>
  <si>
    <t>EUConst_PartCessYear</t>
  </si>
  <si>
    <t>PartCessYear_</t>
  </si>
  <si>
    <t>EUconst_CNTR_PartCessALini</t>
  </si>
  <si>
    <t>PartCessALini_</t>
  </si>
  <si>
    <t>EUconst_CNTR_PartCessALnew</t>
  </si>
  <si>
    <t>PartCessALnew_</t>
  </si>
  <si>
    <t>EUconst_SubInst17</t>
  </si>
  <si>
    <t>EUconst_ChangeType1</t>
  </si>
  <si>
    <t>All subinstallations</t>
  </si>
  <si>
    <t>EUconst_CNTR_PartCessAllocLini</t>
  </si>
  <si>
    <t>PartCessAllocIni_</t>
  </si>
  <si>
    <t>PP-F</t>
  </si>
  <si>
    <t>message</t>
  </si>
  <si>
    <t>100% &gt; x &gt; 50%</t>
  </si>
  <si>
    <t>50% &gt;= x &gt; 25%</t>
  </si>
  <si>
    <t>25% &gt;= x &gt; 10%</t>
  </si>
  <si>
    <t>x &gt;= 90%</t>
  </si>
  <si>
    <t>Euconst_CapacitySource</t>
  </si>
  <si>
    <t>EUconst_CNTR_CAP2Months</t>
  </si>
  <si>
    <t>CAP2Months_</t>
  </si>
  <si>
    <t>EUconst_NormalOrChanged</t>
  </si>
  <si>
    <t>EUconst_TrueFalse</t>
  </si>
  <si>
    <t>EUconst_TrueFalseNA</t>
  </si>
  <si>
    <t>I</t>
  </si>
  <si>
    <t>EUconst_Negative</t>
  </si>
  <si>
    <t>SUM_CO2</t>
  </si>
  <si>
    <t>SUM_bioCO2</t>
  </si>
  <si>
    <t>SUM_EnergyIN</t>
  </si>
  <si>
    <t>EUconst_SumCO2</t>
  </si>
  <si>
    <t>EUconst_SumBioCO2</t>
  </si>
  <si>
    <t>EUconst_SumEnergyIN</t>
  </si>
  <si>
    <t>EUconst_SumN2O</t>
  </si>
  <si>
    <t>EUconst_SumPFC</t>
  </si>
  <si>
    <t>SUM_N2O</t>
  </si>
  <si>
    <t>SUM_PFC</t>
  </si>
  <si>
    <t>xxx</t>
  </si>
  <si>
    <t>NE&amp;C data file</t>
  </si>
  <si>
    <t>S-PVC</t>
  </si>
  <si>
    <t>E-PVC</t>
  </si>
  <si>
    <t>end</t>
  </si>
  <si>
    <t>EUconst_Year</t>
  </si>
  <si>
    <t>EUconst_Tons</t>
  </si>
  <si>
    <t>Fax:</t>
  </si>
  <si>
    <t>EUconst_MNm3pa</t>
  </si>
  <si>
    <t>Norway</t>
  </si>
  <si>
    <t>Liechtenstein</t>
  </si>
  <si>
    <t>IS</t>
  </si>
  <si>
    <t>LI</t>
  </si>
  <si>
    <t>NO</t>
  </si>
  <si>
    <t>UBA</t>
  </si>
  <si>
    <t>Name</t>
  </si>
  <si>
    <t>TEXT (Language Version)</t>
  </si>
  <si>
    <t>English Version (Original)</t>
  </si>
  <si>
    <t>Constant</t>
  </si>
  <si>
    <t>Further constants</t>
  </si>
  <si>
    <t>EUconst_ReportingYears</t>
  </si>
  <si>
    <t>End</t>
  </si>
  <si>
    <t>II</t>
  </si>
  <si>
    <t>tC2F6 / tCF4</t>
  </si>
  <si>
    <t>tCO2e/tN2O</t>
  </si>
  <si>
    <t>EUconst_FuelBMvalue</t>
  </si>
  <si>
    <t>http://eur-lex.europa.eu/LexUriServ/LexUriServ.do?uri=CONSLEG:2003L0087:20090625:EN:PDF</t>
  </si>
  <si>
    <t>http://ec.europa.eu/clima/policies/ets/index_en.htm</t>
  </si>
  <si>
    <t>http://ec.europa.eu/eurostat/ramon/nomenclatures/index.cfm?TargetUrl=LST_CLS_DLD&amp;StrNom=PRD_2010&amp;StrLanguageCode=EN&amp;StrLayoutCode=HIERARCHIC</t>
  </si>
  <si>
    <t>EUconst_ProcessEmissionTypes</t>
  </si>
  <si>
    <t>N2O</t>
  </si>
  <si>
    <t>PFCs</t>
  </si>
  <si>
    <t>Draft III NIMs baseline data</t>
  </si>
  <si>
    <t>NIMs 3rd draft</t>
  </si>
  <si>
    <t>CNTR_HasEntries_A_I:</t>
  </si>
  <si>
    <t>Used for formatting and Error messages.</t>
  </si>
  <si>
    <t>EUconst_MsgApplyArt96</t>
  </si>
  <si>
    <t>a</t>
  </si>
  <si>
    <t>EUconst_ERR_Capacity0.9</t>
  </si>
  <si>
    <t>EUconst_CNTR_Finitial</t>
  </si>
  <si>
    <t>FInitial_</t>
  </si>
  <si>
    <t>SCUF</t>
  </si>
  <si>
    <t>EUconst_TotAdded</t>
  </si>
  <si>
    <t>EUconst_EUA</t>
  </si>
  <si>
    <t>EUA</t>
  </si>
  <si>
    <t>EUconst_EUApa</t>
  </si>
  <si>
    <t>EUconst_EUApt</t>
  </si>
  <si>
    <t>Default values</t>
  </si>
  <si>
    <t>EUconst_HALsum</t>
  </si>
  <si>
    <t>HALsum_</t>
  </si>
  <si>
    <t>EUconst_AllocPrelim2013</t>
  </si>
  <si>
    <t>AllocPrelim2013_</t>
  </si>
  <si>
    <t>Version comments</t>
  </si>
  <si>
    <t>EUconst_ERR_DatesBeforeJuly2011</t>
  </si>
  <si>
    <t>EUconst_MsgGoToNextSheet</t>
  </si>
  <si>
    <t>EUConst_MsgPartCessCritFulfilled</t>
  </si>
  <si>
    <t>EUconst_ERR_Mandatory_ef</t>
  </si>
  <si>
    <t>EUconst_TotFreeAlloc</t>
  </si>
  <si>
    <t>EUconst_DateMissing</t>
  </si>
  <si>
    <t>EUconst_CNTR_HEAT</t>
  </si>
  <si>
    <t>HEAT_</t>
  </si>
  <si>
    <t>EUconst_CNTR_VCM</t>
  </si>
  <si>
    <t>VCM_</t>
  </si>
  <si>
    <t>EUconst_CNTR_HVC</t>
  </si>
  <si>
    <t>HVC_</t>
  </si>
  <si>
    <t>EUconst_Unit</t>
  </si>
  <si>
    <t>EUconst_GJ</t>
  </si>
  <si>
    <t>GJ</t>
  </si>
  <si>
    <t>EUconst_MWh</t>
  </si>
  <si>
    <t>MWh</t>
  </si>
  <si>
    <t>EUconst_t</t>
  </si>
  <si>
    <t>t</t>
  </si>
  <si>
    <t>EUconst_tCO2</t>
  </si>
  <si>
    <t>t CO2</t>
  </si>
  <si>
    <t>EUconst_tN2O</t>
  </si>
  <si>
    <t>t N2O</t>
  </si>
  <si>
    <t>EUconst_Or</t>
  </si>
  <si>
    <t>(d)</t>
  </si>
  <si>
    <t>III</t>
  </si>
  <si>
    <t>Unit</t>
  </si>
  <si>
    <t>EUconst_ERR_Mandatory_g</t>
  </si>
  <si>
    <t>EUconst_ERR_Mandatory_abd</t>
  </si>
  <si>
    <t>EUconst_Experimental</t>
  </si>
  <si>
    <t>EUconst_PointA</t>
  </si>
  <si>
    <t>EUconst_ERR_DoubleBMentry</t>
  </si>
  <si>
    <t>EUconst_ERR_MissingSubInstEntry</t>
  </si>
  <si>
    <t>EUconst_ERR_MissingFallBackEntry</t>
  </si>
  <si>
    <t>ETS coverage (f. formatting)</t>
  </si>
  <si>
    <t>EUconst_MSlist</t>
  </si>
  <si>
    <t>EUconst_MSlistISOcodes</t>
  </si>
  <si>
    <t>MSconst_RequirePermitInfo</t>
  </si>
  <si>
    <t>v.</t>
  </si>
  <si>
    <t>vi.</t>
  </si>
  <si>
    <t>vii.</t>
  </si>
  <si>
    <t>viii.</t>
  </si>
  <si>
    <t>ix.</t>
  </si>
  <si>
    <t>For formatting of capacity list:</t>
  </si>
  <si>
    <t>CNTR_ExistSubInstEntries</t>
  </si>
  <si>
    <t>For formatting of connection list:</t>
  </si>
  <si>
    <t>CNTR_ExistConnectionEntries</t>
  </si>
  <si>
    <t>MSconst_RequireConnectedInstContact</t>
  </si>
  <si>
    <t>EUconst_MWhpa</t>
  </si>
  <si>
    <t>EUconst_tpa</t>
  </si>
  <si>
    <t>EUconst_GJpt</t>
  </si>
  <si>
    <t>EUconst_tCO2pTJ</t>
  </si>
  <si>
    <t>EUconst_tCO2pa</t>
  </si>
  <si>
    <t>EUconst_tCO2pt</t>
  </si>
  <si>
    <t>EUconst_TJpa</t>
  </si>
  <si>
    <t>EUconst_tN2Opa</t>
  </si>
  <si>
    <t>EUconst_tCO2eptN2O</t>
  </si>
  <si>
    <t>EUconst_tCO2epa</t>
  </si>
  <si>
    <t>EUconst_min</t>
  </si>
  <si>
    <t>EUconst_minpcelld</t>
  </si>
  <si>
    <t>EUconst_unitSlopeF</t>
  </si>
  <si>
    <t>EUconst_mV</t>
  </si>
  <si>
    <t>EUconst_unitOvervoltF</t>
  </si>
  <si>
    <t>EUconst_unitRelPFC</t>
  </si>
  <si>
    <t>EUconst_tCO2ept</t>
  </si>
  <si>
    <t>EUconst_relOrTJpa</t>
  </si>
  <si>
    <t>controls</t>
  </si>
  <si>
    <t>Version:</t>
  </si>
  <si>
    <t>Info for automatic Version detection</t>
  </si>
  <si>
    <t>Template type:</t>
  </si>
  <si>
    <t>Type list:</t>
  </si>
  <si>
    <t>Language:</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</si>
  <si>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</si>
  <si>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</si>
  <si>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</si>
  <si>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</si>
  <si>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</si>
  <si>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</si>
  <si>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</si>
  <si>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</si>
  <si>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</si>
  <si>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</si>
  <si>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</si>
  <si>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</si>
  <si>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</si>
  <si>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</si>
  <si>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</si>
  <si>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</si>
  <si>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</si>
  <si>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</si>
  <si>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</si>
  <si>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</si>
  <si>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</si>
  <si>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</si>
  <si>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</si>
  <si>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EUconst_CNTR_nonETSMeasHeat</t>
  </si>
  <si>
    <t>HAL96_capacity_</t>
  </si>
  <si>
    <t>HAL96_RCUF_</t>
  </si>
  <si>
    <t>EUconst_HAL96capacity</t>
  </si>
  <si>
    <t>EUconst_HAL96RCUF</t>
  </si>
  <si>
    <t>EUconst_Error</t>
  </si>
  <si>
    <t>ERR_</t>
  </si>
  <si>
    <t>iv.</t>
  </si>
  <si>
    <t>EUconst_FuelUseTypes</t>
  </si>
  <si>
    <t>EUconst_ConnectionTransferTypes</t>
  </si>
  <si>
    <t>EUconst_ConnectionShortTypes</t>
  </si>
  <si>
    <t>CO2</t>
  </si>
  <si>
    <t>EUconst_CNTR_CAPINI</t>
  </si>
  <si>
    <t>EUconst_CNTR_CAPNEW</t>
  </si>
  <si>
    <t>CAPINI_</t>
  </si>
  <si>
    <t>CAPNEW_</t>
  </si>
  <si>
    <t>IV</t>
  </si>
  <si>
    <t>Fuel type description</t>
  </si>
  <si>
    <t xml:space="preserve">Emission factor </t>
  </si>
  <si>
    <r>
      <t>(tCO</t>
    </r>
    <r>
      <rPr>
        <b/>
        <vertAlign val="subscript"/>
        <sz val="9"/>
        <rFont val="Times New Roman"/>
        <family val="1"/>
      </rPr>
      <t>2</t>
    </r>
    <r>
      <rPr>
        <b/>
        <sz val="9"/>
        <rFont val="Times New Roman"/>
        <family val="1"/>
      </rPr>
      <t>/TJ)</t>
    </r>
  </si>
  <si>
    <t>Net Calorific Value</t>
  </si>
  <si>
    <t>(TJ/Gg)</t>
  </si>
  <si>
    <t>EUconst_CNTR_HAL</t>
  </si>
  <si>
    <t>HAL_</t>
  </si>
  <si>
    <t>EUconst_CNTR_ELEXCH</t>
  </si>
  <si>
    <t>ELEXCH_</t>
  </si>
  <si>
    <t>http://ec.europa.eu/eurostat/ramon/nomenclatures/index.cfm?TargetUrl=LST_CLS_DLD&amp;StrNom=NACE_REV2&amp;StrLanguageCode=EN&amp;StrLayoutCode=HIERARCHIC</t>
  </si>
  <si>
    <t>EUconst_RatioRange</t>
  </si>
  <si>
    <t>EUconst_Manual</t>
  </si>
  <si>
    <t>EUconst_ERR_PartialCessation</t>
  </si>
  <si>
    <t>EUconst_ERR_FirstSub</t>
  </si>
  <si>
    <t>EUconst_ERR_NewSub</t>
  </si>
  <si>
    <t>Euconst_CessationReason</t>
  </si>
  <si>
    <t>EUconst_ConfirmCessation</t>
  </si>
  <si>
    <t>EUconst_ERR_CessationIteme</t>
  </si>
  <si>
    <t>EUconst_ERR_MandatoryDII3a</t>
  </si>
  <si>
    <t>EUconst_ERR_MandatoryEII4</t>
  </si>
  <si>
    <t>Jump indicator</t>
  </si>
  <si>
    <t>EUconst_MsgUseElExchTool</t>
  </si>
  <si>
    <t>EUconst_AbsRel</t>
  </si>
  <si>
    <t>EUconst_PFCmethods</t>
  </si>
  <si>
    <t>EUconst_tCO2pTJorT</t>
  </si>
  <si>
    <t>EUconst_ConfirmationNotEligible</t>
  </si>
  <si>
    <t>EUconst_ConfirmApplicationForAlloc</t>
  </si>
  <si>
    <t>EUconst_SubInstallation</t>
  </si>
  <si>
    <t>EUconst_ConnectedEntityTypes</t>
  </si>
  <si>
    <t>EUconst_ConnectionTypes</t>
  </si>
  <si>
    <t>EUconst_MsgNewEntrant</t>
  </si>
  <si>
    <t>(b)</t>
  </si>
  <si>
    <t>Column Index:</t>
  </si>
  <si>
    <t>3. If the list is too short, the list can be extended by inserting additional rows (not individual cells) BEFORE the "&lt;end of list&gt;" marker</t>
  </si>
  <si>
    <r>
      <t xml:space="preserve">4. As a final step it should be checked if the grey area is identical to the defined Name: </t>
    </r>
    <r>
      <rPr>
        <b/>
        <sz val="10"/>
        <color indexed="10"/>
        <rFont val="Arial"/>
        <family val="2"/>
      </rPr>
      <t>MSconst_FuelCategoryList</t>
    </r>
  </si>
  <si>
    <t>HAL99init_</t>
  </si>
  <si>
    <t>EUconst_HAL99initial</t>
  </si>
  <si>
    <t>EUconst_HAL99changed</t>
  </si>
  <si>
    <t>HAL99change_</t>
  </si>
  <si>
    <t>EUconst_HAL99total</t>
  </si>
  <si>
    <t>HAL99total_</t>
  </si>
  <si>
    <t>E.II.1.n !</t>
  </si>
  <si>
    <t>HAL99deltaC_</t>
  </si>
  <si>
    <t>EUconst_CNTR_HALspecial</t>
  </si>
  <si>
    <t>EUconst_BM</t>
  </si>
  <si>
    <t>EUconst_HCUFmissing</t>
  </si>
  <si>
    <t>No. of Activity</t>
  </si>
  <si>
    <t>EUconst_BaselinePeriods</t>
  </si>
  <si>
    <t>2005-2008</t>
  </si>
  <si>
    <t>2009-2010</t>
  </si>
  <si>
    <t>EUconst_HeatBMvalue</t>
  </si>
  <si>
    <t>EUconst_ElBM</t>
  </si>
  <si>
    <t>Message regarding special reporting</t>
  </si>
  <si>
    <t>EUconst_RelevantAmountPulp</t>
  </si>
  <si>
    <t>b</t>
  </si>
  <si>
    <t>EUconst_LatestChange</t>
  </si>
  <si>
    <t>StartDate_</t>
  </si>
  <si>
    <t>EUconst_StartDate</t>
  </si>
  <si>
    <t>EUconst_CNTR_CAPDelta</t>
  </si>
  <si>
    <t>EUconst_CNTR_HALAdded</t>
  </si>
  <si>
    <t>CAPDelta_</t>
  </si>
  <si>
    <t>HALAddded_</t>
  </si>
  <si>
    <t>CAP_</t>
  </si>
  <si>
    <t>EUconst_CNTR_CAP</t>
  </si>
  <si>
    <t>EUconst_ERR_40pct</t>
  </si>
  <si>
    <t>EUconst_182CUF</t>
  </si>
  <si>
    <t>CUF_</t>
  </si>
  <si>
    <t>NEW</t>
  </si>
  <si>
    <t>EUconst_ERR_Capacity1.1</t>
  </si>
  <si>
    <t>EUconst_ChangeType0</t>
  </si>
  <si>
    <t>EUconst_ConfirmAllowUseOfData</t>
  </si>
  <si>
    <t>min</t>
  </si>
  <si>
    <t>min / cell day</t>
  </si>
  <si>
    <t>-</t>
  </si>
  <si>
    <t>(kgCF4/tAl) / (min/cell-day)</t>
  </si>
  <si>
    <t>mV</t>
  </si>
  <si>
    <t>kg CF4 / (t Al mV)</t>
  </si>
  <si>
    <t>SE</t>
  </si>
  <si>
    <t>UK</t>
  </si>
  <si>
    <t>EUconst_CNTR_Check10Pct</t>
  </si>
  <si>
    <t>Activity list</t>
  </si>
  <si>
    <t>Make grey?</t>
  </si>
  <si>
    <t>EUconst_OK</t>
  </si>
  <si>
    <t>O.K.</t>
  </si>
  <si>
    <t>Check10Pct_</t>
  </si>
  <si>
    <t>EUconst_ERR_NoSignificantChange</t>
  </si>
  <si>
    <t>http://ec.europa.eu/eurostat/ramon/nomenclatures/index.cfm?TargetUrl=LST_CLS_DLD&amp;StrNom=NACE_1_1&amp;StrLanguageCode=EN&amp;StrLayoutCode=HIERARCHIC</t>
  </si>
  <si>
    <t>Umweltbundesamt</t>
  </si>
  <si>
    <t>NIMs baseline data</t>
  </si>
  <si>
    <t>Spain</t>
  </si>
  <si>
    <t>Sweden</t>
  </si>
  <si>
    <t>United Kingdom</t>
  </si>
  <si>
    <t>EUconst_MsgSeeFirst</t>
  </si>
  <si>
    <t>EUconst_MsgProceedF</t>
  </si>
  <si>
    <t>EUconst_MsgProceedEII2</t>
  </si>
  <si>
    <t>EUconst_MsgGoOn</t>
  </si>
  <si>
    <t>Adt</t>
  </si>
  <si>
    <t>EUconst_Inconsistent</t>
  </si>
  <si>
    <t>EUconst_tCO2pkNm3</t>
  </si>
  <si>
    <t>A.II.2.a-f !</t>
  </si>
  <si>
    <t>EUconst_PFCSource</t>
  </si>
  <si>
    <t>EUconst_TransfSource</t>
  </si>
  <si>
    <t>EUconst_GJpa</t>
  </si>
  <si>
    <t>Portugal</t>
  </si>
  <si>
    <t>Romania</t>
  </si>
  <si>
    <t>Slovakia</t>
  </si>
  <si>
    <t>Slovenia</t>
  </si>
  <si>
    <t>EUconst_WithinInst</t>
  </si>
  <si>
    <t>EUconst_HeatUseTypes</t>
  </si>
  <si>
    <t>EUconst_30DayOrCalendarMonth</t>
  </si>
  <si>
    <t>EUconst_NotEligible</t>
  </si>
  <si>
    <t>Kerosene</t>
  </si>
  <si>
    <t>Lignite</t>
  </si>
  <si>
    <t>Patent Fuel</t>
  </si>
  <si>
    <t>Column for</t>
  </si>
  <si>
    <t>EUconst_Allowances</t>
  </si>
  <si>
    <t>EUconst_MsgGoOn_d</t>
  </si>
  <si>
    <t>EUconst_MsgGoOnIfNotRelevant</t>
  </si>
  <si>
    <t>EUconst_Month</t>
  </si>
  <si>
    <t>EUconst_BMSubinst</t>
  </si>
  <si>
    <t>EUconst_ERR_DatesSorting</t>
  </si>
  <si>
    <t>EUconst_ERR_RangeOfStartingDate</t>
  </si>
  <si>
    <t>EUconst_ERR_InitialDateMissing</t>
  </si>
  <si>
    <t>Islandic</t>
  </si>
  <si>
    <t>is</t>
  </si>
  <si>
    <t>Norwegian</t>
  </si>
  <si>
    <t>no</t>
  </si>
  <si>
    <t>EUconst_relOrMWhpa</t>
  </si>
  <si>
    <t>EUconst_relOrtCO2pa</t>
  </si>
  <si>
    <t>A.</t>
  </si>
  <si>
    <t>B.</t>
  </si>
  <si>
    <t>C.</t>
  </si>
  <si>
    <t>D.</t>
  </si>
  <si>
    <t>I.</t>
  </si>
  <si>
    <t>J.</t>
  </si>
  <si>
    <t>EUconst_Incomplete</t>
  </si>
  <si>
    <t>EUconst_CapacityInitial</t>
  </si>
  <si>
    <t>CapacityInitial_</t>
  </si>
  <si>
    <t>EUconst_Relevant</t>
  </si>
  <si>
    <t>EUconst_NotRelevant</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</si>
  <si>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</si>
  <si>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</si>
  <si>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</si>
  <si>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</si>
  <si>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</si>
  <si>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</si>
  <si>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</si>
  <si>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</si>
  <si>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</si>
  <si>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</si>
  <si>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</si>
  <si>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</si>
  <si>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</si>
  <si>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</si>
  <si>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</si>
  <si>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</si>
  <si>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</si>
  <si>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</si>
  <si>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</si>
  <si>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</si>
  <si>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</si>
  <si>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</si>
  <si>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</si>
  <si>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</si>
  <si>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</si>
  <si>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</si>
  <si>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</si>
  <si>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</si>
  <si>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</si>
  <si>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</si>
  <si>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</si>
  <si>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</si>
  <si>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</si>
  <si>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</si>
  <si>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</si>
  <si>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</si>
  <si>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</si>
  <si>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</si>
  <si>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</si>
  <si>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</si>
  <si>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</si>
  <si>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</si>
  <si>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</si>
  <si>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</si>
  <si>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</si>
  <si>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</si>
  <si>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</si>
  <si>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</si>
  <si>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</si>
  <si>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</si>
  <si>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(g)</t>
  </si>
  <si>
    <t>Number of activity</t>
  </si>
  <si>
    <t>EUconst_ERR_ActivityMissing</t>
  </si>
  <si>
    <t>1.</t>
  </si>
  <si>
    <t>2.</t>
  </si>
  <si>
    <t>3.</t>
  </si>
  <si>
    <t>4.</t>
  </si>
  <si>
    <t>5.</t>
  </si>
  <si>
    <t>CITL-List</t>
  </si>
  <si>
    <t>EUconst_CNTR_PeriodGreenfield</t>
  </si>
  <si>
    <t>PeriodGreenfield_</t>
  </si>
  <si>
    <t>EUconst_ERR_Mandatory_Bbc</t>
  </si>
  <si>
    <t>EUconst_ERR_StartWithFuels</t>
  </si>
  <si>
    <t>EUconst_ERR_Goto_DI2</t>
  </si>
  <si>
    <t>EUconst_Fuel</t>
  </si>
  <si>
    <t>EUconst_ProcessSource</t>
  </si>
  <si>
    <t>EUconst_ApplicationType</t>
  </si>
  <si>
    <t>EUconst_ERR_Mandatory_ApplicationType</t>
  </si>
  <si>
    <t>EUconst_RCUFrange</t>
  </si>
  <si>
    <t>i.</t>
  </si>
  <si>
    <t>ii.</t>
  </si>
  <si>
    <t>iii.</t>
  </si>
  <si>
    <t>No.</t>
  </si>
  <si>
    <t>Type of entity</t>
  </si>
  <si>
    <t>EUconst_HCUF</t>
  </si>
  <si>
    <t>HCUF_</t>
  </si>
  <si>
    <t>Version list</t>
  </si>
  <si>
    <t>Languages list</t>
  </si>
  <si>
    <t>HALspecial_</t>
  </si>
  <si>
    <t>EUconst_HeatToolComplex</t>
  </si>
  <si>
    <t>EUconst_HeatToolSelection</t>
  </si>
  <si>
    <t>EUconst_FBSubinst</t>
  </si>
  <si>
    <t>EUconst_MsgEnterThisSection</t>
  </si>
  <si>
    <t>EUconst_MsgGoToNextSubInst</t>
  </si>
  <si>
    <t>EUconst_MsgBackToSheetF</t>
  </si>
  <si>
    <t>EUconst_HeatToolSimple</t>
  </si>
  <si>
    <t>EUconst_kNm3pa</t>
  </si>
  <si>
    <t>EUconst_TonnesOrkNm3pa</t>
  </si>
  <si>
    <t>EUconst_GJperTorKNm3</t>
  </si>
  <si>
    <t>GJ/1000Nm3</t>
  </si>
  <si>
    <t>EUconst_GJperUnit</t>
  </si>
  <si>
    <t>EUconst_HAL99unchanged</t>
  </si>
  <si>
    <t>HAL99unchanged_</t>
  </si>
  <si>
    <t>EUconst_RCUFmissing</t>
  </si>
  <si>
    <t>NER application</t>
  </si>
  <si>
    <t>Croatia</t>
  </si>
  <si>
    <t>HR</t>
  </si>
  <si>
    <t>Croatian</t>
  </si>
  <si>
    <t>hr</t>
  </si>
  <si>
    <t>DELETE</t>
  </si>
  <si>
    <t>(c)</t>
  </si>
  <si>
    <t>(e)</t>
  </si>
  <si>
    <t>(f)</t>
  </si>
  <si>
    <t xml:space="preserve">http://eur-lex.europa.eu/en/index.htm </t>
  </si>
  <si>
    <t>(a)</t>
  </si>
  <si>
    <t>Austria</t>
  </si>
  <si>
    <t>Belgium</t>
  </si>
  <si>
    <t>Bulgaria</t>
  </si>
  <si>
    <t>Cyprus</t>
  </si>
  <si>
    <t>Czech Republic</t>
  </si>
  <si>
    <t>Denmark</t>
  </si>
  <si>
    <t>Estonia</t>
  </si>
  <si>
    <t>Finland</t>
  </si>
  <si>
    <t>France</t>
  </si>
  <si>
    <t>MSconst_RequireDetailedProductionData</t>
  </si>
  <si>
    <t>http://ec.europa.eu/eurostat/ramon/nomenclatures/index.cfm?TargetUrl=LST_CLS_DLD&amp;StrNom=PRD_2007&amp;StrLanguageCode=EN&amp;StrLayoutCode=</t>
  </si>
  <si>
    <t>MSconst_RequireDetailesFallBack</t>
  </si>
  <si>
    <t>EUconst_RelevantNotRelevant</t>
  </si>
  <si>
    <t>EUconst_CLnonCL</t>
  </si>
  <si>
    <t>http://ec.europa.eu/clima/policies/ets/benchmarking/documentation_en.htm</t>
  </si>
  <si>
    <t>List of technical connections for drop-downlists:</t>
  </si>
  <si>
    <t>sorted line</t>
  </si>
  <si>
    <t>interim value</t>
  </si>
  <si>
    <t>Name of Transfer Entity</t>
  </si>
  <si>
    <t>EUconst_HAL99deltaC</t>
  </si>
  <si>
    <t>EUconst_HCUFrange</t>
  </si>
  <si>
    <t>ausblenden</t>
  </si>
  <si>
    <t>EUconst_HouseholdReportMethods</t>
  </si>
  <si>
    <t>EUconst_MsgGoOn_cd</t>
  </si>
  <si>
    <t>EUconst_MsgGoOn_e</t>
  </si>
  <si>
    <t>(h)</t>
  </si>
  <si>
    <t>(i)</t>
  </si>
  <si>
    <t>EUconst_NA</t>
  </si>
  <si>
    <t>Fall-back Sub-Installation List</t>
  </si>
  <si>
    <t>Sub-inst</t>
  </si>
  <si>
    <t>TJ</t>
  </si>
  <si>
    <t>t CO2e</t>
  </si>
  <si>
    <t>EUconst_TJ</t>
  </si>
  <si>
    <t>EUconst_tCO2e</t>
  </si>
  <si>
    <t>Sorting</t>
  </si>
  <si>
    <t>Germany</t>
  </si>
  <si>
    <t>Greece</t>
  </si>
  <si>
    <t>Hungary</t>
  </si>
  <si>
    <t>Ireland</t>
  </si>
  <si>
    <t>Italy</t>
  </si>
  <si>
    <t>Latvia</t>
  </si>
  <si>
    <t>Lithuania</t>
  </si>
  <si>
    <t>Luxembourg</t>
  </si>
  <si>
    <t>Malta</t>
  </si>
  <si>
    <t>Netherlands</t>
  </si>
  <si>
    <t>Poland</t>
  </si>
  <si>
    <t>Iceland</t>
  </si>
  <si>
    <t>EUconst_CWTpa</t>
  </si>
  <si>
    <t>Draft II NIMs baseline data</t>
  </si>
  <si>
    <t>NIMs 2nd draft</t>
  </si>
  <si>
    <t>EUconst_MBSource</t>
  </si>
  <si>
    <t>EUconst_CEMSSource</t>
  </si>
  <si>
    <t>EUconst_N2OSource</t>
  </si>
  <si>
    <t>EUconst_PrivateHouseholds</t>
  </si>
  <si>
    <t>EUconst_CNTR_Check5Pct</t>
  </si>
  <si>
    <t>Check5Pct_</t>
  </si>
  <si>
    <t>EUconst_PulpPlacedOnMarket</t>
  </si>
  <si>
    <t>CSCF</t>
  </si>
  <si>
    <t>2006 IPCC Guidelines</t>
  </si>
  <si>
    <t>(except biomass)</t>
  </si>
  <si>
    <t>46.4</t>
  </si>
  <si>
    <t>n.a.</t>
  </si>
  <si>
    <t>MS Fuel Category list (Generic List is taken from MRG 2007 Annex I section 11 Table 4)</t>
  </si>
  <si>
    <t>&lt;END of list&gt;</t>
  </si>
  <si>
    <t>Please note: When this list is amended by the MS competent authority, the following technicalities are to be respected:</t>
  </si>
  <si>
    <t>1. the Grey area must be identical to the list which is to appear in the drop down list of sheet "SourceStreams" section I.x.a (x=Fuel number)</t>
  </si>
  <si>
    <t>2. No empty cells should be contained in the grey area (otherwise the operater can enter values which are not contained in the list)</t>
  </si>
  <si>
    <t>Benchmark List</t>
  </si>
  <si>
    <t>Activity (Annex I ETS Directive)</t>
  </si>
  <si>
    <t>No. of BM</t>
  </si>
  <si>
    <t>alternative BM No.</t>
  </si>
  <si>
    <t>Product benchmark</t>
  </si>
  <si>
    <t>Carbon leakage?</t>
  </si>
  <si>
    <t>Benchmark value (EUA/t)</t>
  </si>
  <si>
    <t>Exchangeability electricity</t>
  </si>
  <si>
    <t>CWT</t>
  </si>
  <si>
    <t>Coke</t>
  </si>
  <si>
    <t>SIG_</t>
  </si>
  <si>
    <t>EUconst_CNTR_SIG</t>
  </si>
  <si>
    <t>EUconst_Households</t>
  </si>
  <si>
    <t>Note:</t>
  </si>
  <si>
    <t>CNTR_Merger</t>
  </si>
  <si>
    <t>Installation</t>
  </si>
  <si>
    <t>Has Entry?</t>
  </si>
  <si>
    <t>NER Merger Split</t>
  </si>
  <si>
    <t>NE&amp;C MergerSplit</t>
  </si>
  <si>
    <t>CNTR_YearMergerSplit</t>
  </si>
  <si>
    <t>EUconst_ERR_Mandatory_c</t>
  </si>
  <si>
    <t>EUconst_ConfirmMergerSplit</t>
  </si>
  <si>
    <t>Sheet name:</t>
  </si>
  <si>
    <t>Hyperlink:</t>
  </si>
  <si>
    <t>First draft to DG CLIMA</t>
  </si>
  <si>
    <t>CNTR_HasEntries_A_II:</t>
  </si>
  <si>
    <t>cond. form.?</t>
  </si>
  <si>
    <t>First draft to TWG</t>
  </si>
  <si>
    <t>Second Draft</t>
  </si>
  <si>
    <t>EUconst_Days</t>
  </si>
  <si>
    <t>EUconst_Months</t>
  </si>
  <si>
    <t>EUconst_MergerSplitOrTransfer</t>
  </si>
  <si>
    <t>Rounding error?</t>
  </si>
  <si>
    <t>Identical?</t>
  </si>
  <si>
    <t>EUconst_ERR_Rounding</t>
  </si>
  <si>
    <t>ready for translation</t>
  </si>
  <si>
    <t>Section I has entries?</t>
  </si>
  <si>
    <t>HasError?</t>
  </si>
  <si>
    <t>BM Unit</t>
  </si>
  <si>
    <t>Final</t>
  </si>
  <si>
    <t>CNTR_MergerORSplitORTransfer</t>
  </si>
  <si>
    <t>N.D.</t>
  </si>
  <si>
    <t>Valori assoluti</t>
  </si>
  <si>
    <t>Percentuali</t>
  </si>
  <si>
    <t>Unità</t>
  </si>
  <si>
    <t>Mese</t>
  </si>
  <si>
    <t>Combustibile</t>
  </si>
  <si>
    <t>Parametro di riferimento</t>
  </si>
  <si>
    <t>Fonte di emissioni di processo</t>
  </si>
  <si>
    <t>Componente di bilancio di massa</t>
  </si>
  <si>
    <t>Fonte di CEMS</t>
  </si>
  <si>
    <t>Fonte di N2O</t>
  </si>
  <si>
    <t>Fonte di PFC</t>
  </si>
  <si>
    <t>Emissioni trasferite o stoccate</t>
  </si>
  <si>
    <t>Sottoimpianto con parametro di riferimento di prodotto</t>
  </si>
  <si>
    <t>Sottoimpianto alternativo</t>
  </si>
  <si>
    <t>anno</t>
  </si>
  <si>
    <t>tonnellate</t>
  </si>
  <si>
    <t>o</t>
  </si>
  <si>
    <t>Impianto rientrante nel sistema ETS</t>
  </si>
  <si>
    <t>Impianto non rientrante nel sistema ETS</t>
  </si>
  <si>
    <t>Impianto che produce acido nitrico</t>
  </si>
  <si>
    <t>Rete di distribuzione di calore</t>
  </si>
  <si>
    <t>Calore misurabile</t>
  </si>
  <si>
    <t>Gas di scarico</t>
  </si>
  <si>
    <t>CO2 trasferito (CCS)</t>
  </si>
  <si>
    <t>Calore</t>
  </si>
  <si>
    <t>Importazione</t>
  </si>
  <si>
    <t>Esportazione</t>
  </si>
  <si>
    <t>All'interno dell'impianto</t>
  </si>
  <si>
    <t>Produzione di merci</t>
  </si>
  <si>
    <t>energia meccanica</t>
  </si>
  <si>
    <t>riscaldamento</t>
  </si>
  <si>
    <t>raffreddamento</t>
  </si>
  <si>
    <t>sconosciuto</t>
  </si>
  <si>
    <t>CO2 (gas di scarico corretto)</t>
  </si>
  <si>
    <t>riduzione di composti metallici</t>
  </si>
  <si>
    <t>eliminazione di impurità</t>
  </si>
  <si>
    <t>decomposizione di carbonati</t>
  </si>
  <si>
    <t>sintesi chimica</t>
  </si>
  <si>
    <t>materie contenenti carbonio</t>
  </si>
  <si>
    <t>riduzione di ossidi metallici o ossidi non metallici</t>
  </si>
  <si>
    <t>pertinente</t>
  </si>
  <si>
    <t>non pertinente</t>
  </si>
  <si>
    <t>Rilocalizzazione di emissioni di carbonio</t>
  </si>
  <si>
    <t>non esposto a rilocalizzazione di emissioni di carbonio</t>
  </si>
  <si>
    <t>quote</t>
  </si>
  <si>
    <t>Il gestore di questo impianto conferma che questa comunicazione può essere utilizzata dall'autorità competente e dalla Commissione europea.</t>
  </si>
  <si>
    <t>Metodo A = metodo "slope” (della pendenza)</t>
  </si>
  <si>
    <t>Metodo B = metodo “overvoltage” (della sovratensione)</t>
  </si>
  <si>
    <t>Dati di riferimento</t>
  </si>
  <si>
    <t>Frazione del livello storico di attività (HAL) (G.I.2.k)</t>
  </si>
  <si>
    <t>incompleto!</t>
  </si>
  <si>
    <t>negativo!</t>
  </si>
  <si>
    <t>incongruente!</t>
  </si>
  <si>
    <t>Data mancante!</t>
  </si>
  <si>
    <t>Inserimento manuale!</t>
  </si>
  <si>
    <t>Manca il dato HCUF!</t>
  </si>
  <si>
    <t>utenze private</t>
  </si>
  <si>
    <t>calore misurabile non rientrante nel sistema ETS</t>
  </si>
  <si>
    <t>Strumento semplice per il calore (E.II.1)</t>
  </si>
  <si>
    <t>Strumento complesso per il calore (E.II.2)</t>
  </si>
  <si>
    <t>sperimentale</t>
  </si>
  <si>
    <t>lettera (a)</t>
  </si>
  <si>
    <t>Il nome di almeno un sottoimpianto è stato inserito più di una volta. Correggere!</t>
  </si>
  <si>
    <t>Selezionare almeno un sottoimpianto nelle sezioni III.1 o III.2!</t>
  </si>
  <si>
    <t>Indicare per ogni sottoimpianto se è pertinente oppure no!</t>
  </si>
  <si>
    <t>Inserire le informazioni alle precedenti lettere (b) e (c)!</t>
  </si>
  <si>
    <t>Inserire dati dettagliati sul flusso di fonti iniziando con la successiva sezione II!</t>
  </si>
  <si>
    <t>Procedere all'inserimento dei totali delle emissioni nella sezione D.I.2 del foglio "D_Emissions"!</t>
  </si>
  <si>
    <t>Inserire anche i dati nella sezione E.II.4!</t>
  </si>
  <si>
    <t>Inserire anche i dati nella sezione D.II.3.a.!</t>
  </si>
  <si>
    <t xml:space="preserve">Istruzioni dettagliate per l'inserimento dei dati in questo strumento sono disponibili alla prima copia dello strumento. </t>
  </si>
  <si>
    <t>Passare al foglio "F_ProductBM"!</t>
  </si>
  <si>
    <t>Passare alla sezione E.II.2</t>
  </si>
  <si>
    <t>Continuare con i punti successivi.</t>
  </si>
  <si>
    <t>Usare il seguente strumento per l'intercambiabilità dell'elettricità.</t>
  </si>
  <si>
    <t>Continuare con la successiva lettera (d).</t>
  </si>
  <si>
    <t>Se non è pertinente per il proprio impianto, passare ai punti successivi.</t>
  </si>
  <si>
    <t>Le date devono essere in ordine ascendente!</t>
  </si>
  <si>
    <t>La data di inizio deve essere successiva al 30 giugno 2011!</t>
  </si>
  <si>
    <t>Tutte le date devono essere successive al 30 giugno 2011!</t>
  </si>
  <si>
    <t>Manca la data iniziale!</t>
  </si>
  <si>
    <t>Inserire i dati in questa sezione!</t>
  </si>
  <si>
    <t>Passare al prossimo sottoimpianto!</t>
  </si>
  <si>
    <t>Cliccare qui per ritornare alla pagina F_ProductBM</t>
  </si>
  <si>
    <t>Continuare con l'inserimento dei dati alle lettere (c) e (d)!</t>
  </si>
  <si>
    <t>Continuare con la lettera (e)!</t>
  </si>
  <si>
    <t>Va applicato l'articolo 9, paragrafo 6, delle misure di attuazione comunitarie (CIM)!</t>
  </si>
  <si>
    <t>Usare lo strumento "CWT" nel foglio "SpecialBM" per calcolare i livelli di attività storica.</t>
  </si>
  <si>
    <t>Usare lo strumento "calce" nel foglio "SpecialBM" per calcolare i livelli di attività storica.</t>
  </si>
  <si>
    <t>Usare lo strumento "calce dolomitica" del foglio SpecialBM" per calcolare i livelli di attività storica.</t>
  </si>
  <si>
    <t>Si noti che per la produzione integrata di pasta per carta e carta si applicano disposizioni specifiche sull'assegnazione di quote di emissioni (articolo 10, paragrafo 7, delle CIM).</t>
  </si>
  <si>
    <t>Il calore misurabile esportato verso altri sottoimpianti deve essere trattato come calore da fonti non rientranti nel sistema ETS.</t>
  </si>
  <si>
    <t>Usare lo strumento "cracking con vapore" del foglio "SpecialBM" per calcolare i livelli di attività storica e le quote preliminare da assegnare.</t>
  </si>
  <si>
    <t>Usare lo strumento "CWT” del foglio "SpecialBM" per calcolare i livelli di attività storica.</t>
  </si>
  <si>
    <t>Usare lo strumento "ossido di etilene/glicoli etilenici" del foglio "SpecialBM" per calcolare i livelli di attività storica.</t>
  </si>
  <si>
    <t>Usare lo strumento "VCM" del foglio "SpecialBM" per calcolare le quote preliminari da assegnare.</t>
  </si>
  <si>
    <t>Usare lo strumento "idrogeno" del foglio "SpecialBM" per calcolare i livelli di attività storica.</t>
  </si>
  <si>
    <t>Usare lo strumento "syngas" del foglio "SpecialBM" per calcolare i livelli di attività storica.</t>
  </si>
  <si>
    <t>Belgio</t>
  </si>
  <si>
    <t>Cipro</t>
  </si>
  <si>
    <t>Repubblica ceca</t>
  </si>
  <si>
    <t>Danimarca</t>
  </si>
  <si>
    <t>Finlandia</t>
  </si>
  <si>
    <t>Francia</t>
  </si>
  <si>
    <t>Germania</t>
  </si>
  <si>
    <t>Grecia</t>
  </si>
  <si>
    <t>Ungheria</t>
  </si>
  <si>
    <t>Islanda</t>
  </si>
  <si>
    <t>Irlanda</t>
  </si>
  <si>
    <t>Italia</t>
  </si>
  <si>
    <t>Lettonia</t>
  </si>
  <si>
    <t>Lituania</t>
  </si>
  <si>
    <t>Lussemburgo</t>
  </si>
  <si>
    <t>Paesi Bassi</t>
  </si>
  <si>
    <t>Norvegia</t>
  </si>
  <si>
    <t>Polonia</t>
  </si>
  <si>
    <t>Portogallo</t>
  </si>
  <si>
    <t>Slovacchia</t>
  </si>
  <si>
    <t>Spagna</t>
  </si>
  <si>
    <t>Svezia</t>
  </si>
  <si>
    <t>Regno Unito</t>
  </si>
  <si>
    <t>Combustione di carburanti in impianti di potenza termica nominale totale superiore a 20 MW (tranne negli impianti per l'incenerimento di rifiuti pericolosi o urbani)</t>
  </si>
  <si>
    <t xml:space="preserve">Raffinazione di petrolio </t>
  </si>
  <si>
    <t xml:space="preserve">Produzione di coke </t>
  </si>
  <si>
    <t>Arrostimento o sinterizzazione, compresa la pellettizzazione, di minerali metallici (tra cui i minerali solforati)</t>
  </si>
  <si>
    <t>Produzione di ghisa o acciaio (fusione primaria o secondaria), compresa la relativa colata continua di capacità superiore a 2,5 tonnellate all'ora</t>
  </si>
  <si>
    <t>Produzione o trasformazione di metalli ferrosi (incluse le ferro-leghe), ove siano in funzione unità di combustione di potenza termica nominale totale superiore a 20 MW. La trasformazione comprende, tra l'altro, laminatoi, riscaldatori, forni di ricottura, impianti di forgiatura, fonderie, impianti di rivestimento e impianti di decapaggio</t>
  </si>
  <si>
    <t>Produzione di alluminio primario</t>
  </si>
  <si>
    <t>Produzione di alluminio secondario ove siano in funzione unità di combustione di potenza termica nominale totale superiore a 20 MW</t>
  </si>
  <si>
    <t>Produzione o trasformazione di metalli non ferrosi, compresa la fabbricazione di leghe, l'affinazione, la formatura in fonderia, ecc., ove siano in funzione unità di combustione di potenza termica nominale totale superiore a 20 MW (tra cui i combustibili utilizzati come agenti riducenti)</t>
  </si>
  <si>
    <t>Produzione di clinker (cemento) in forni rotativi la cui capacità di produzione supera 500 tonnellate al giorno oppure in altri tipi di forni aventi una capacità di produzione di oltre 50 tonnellate al giorno</t>
  </si>
  <si>
    <t>Produzione di calce viva o calcinazione di dolomite o magnesite in forni rotativi con capacità di produzione superiore a 50 tonnellate al giorno</t>
  </si>
  <si>
    <t>Fabbricazione del vetro, tra cui le fibre di vetro, con capacità di fusione superiore a 20 tonnellate al giorno</t>
  </si>
  <si>
    <t>Fabbricazione di prodotti ceramici mediante cottura, in particolare tegole, mattoni, mattoni refrattari, piastrelle, gres, porcellane, con capacità di produzione superiore a 75 tonnellate al giorno</t>
  </si>
  <si>
    <t>Fabbricazione di materiale isolante in lana minerale a base di vetro, roccia o scorie con capacità di fusione superiore a 20 tonnellate al giorno</t>
  </si>
  <si>
    <t>Essiccazione o calcinazione del gesso o produzione di pannelli di cartongesso e altri prodotti a base di gesso, ove siano in funzione unità di combustione di potenza termica nominale totale superiore a 20 MW</t>
  </si>
  <si>
    <t>Fabbricazione di pasta per carta a partire dal legno o da altre materie fibrose</t>
  </si>
  <si>
    <t>Fabbricazione di carta o cartoni con capacità di produzione superiore a 20 tonnellate al giorno</t>
  </si>
  <si>
    <t>Produzione di nerofumo, compresa la carbonizzazione di sostanze organiche quali oli, bitumi, residui del cracking e della distillazione, ove siano in funzione unità di combustione di potenza termica nominale totale superiore a 20 MW</t>
  </si>
  <si>
    <t>Produzione di acido nitrico</t>
  </si>
  <si>
    <t>Produzione di acido adipico</t>
  </si>
  <si>
    <t>Produzione di gliossale e acido gliossilico</t>
  </si>
  <si>
    <t>Produzione di ammoniaca</t>
  </si>
  <si>
    <t>Produzione di prodotti chimici organici su larga scala mediante cracking, reforming, ossidazione parziale o totale o processi simili, con una capacità di produzione superiore a 100 tonnellate al giorno</t>
  </si>
  <si>
    <t>Produzione di idrogeno (H2) e di gas di sintesi mediante reforming o mediante ossidazione parziale, con una capacità di produzione superiore a 25 tonnellate al giorno</t>
  </si>
  <si>
    <t>Produzione di carbonato di sodio (Na2CO3) e di bicarbonato di sodio (NaHCO3)</t>
  </si>
  <si>
    <t>Cattura dei gas a effetto serra provenienti da impianti disciplinati dalla presente direttiva ai fini del trasporto e dello stoccaggio geologico in un sito di stoccaggio autorizzato a norma della direttiva 2009/31/CE</t>
  </si>
  <si>
    <t>Trasporto dei gas a effetto serra mediante condutture ai fini dello stoccaggio geologico in un sito di stoccaggio autorizzato a norma della direttiva 2009/31/CE</t>
  </si>
  <si>
    <t>Stoccaggio geologico dei gas a effetto serra in un sito di stoccaggio autorizzato a norma della direttiva 2009/31/CE</t>
  </si>
  <si>
    <t>Prodotti di raffineria</t>
  </si>
  <si>
    <t>Minerale sinterizzato</t>
  </si>
  <si>
    <t>Ghisa allo stato fuso</t>
  </si>
  <si>
    <t>Acciaio al carbonio da forni elettrici ad arco (EAF)</t>
  </si>
  <si>
    <t>Acciaio alto legato da EAF</t>
  </si>
  <si>
    <t>Getto di ghisa</t>
  </si>
  <si>
    <t>Anodo precotto</t>
  </si>
  <si>
    <t>Alluminio [primario]</t>
  </si>
  <si>
    <t>Clinker di cemento grigio</t>
  </si>
  <si>
    <t>Clinker di cemento bianco</t>
  </si>
  <si>
    <t>Calce</t>
  </si>
  <si>
    <t>Calce dolomitica</t>
  </si>
  <si>
    <t>Calce dolomitica sinterizzata</t>
  </si>
  <si>
    <t>Cristallo flottato</t>
  </si>
  <si>
    <t>Bottiglie e flaconi di vetro incolore</t>
  </si>
  <si>
    <t>Bottiglie e flaconi di vetro colorato</t>
  </si>
  <si>
    <t>Prodotti in fibra di vetro a filamento continuo</t>
  </si>
  <si>
    <t>Mattoni faccia a vista</t>
  </si>
  <si>
    <t>Mattoni per pavimentazione</t>
  </si>
  <si>
    <t>Coperture in laterizio</t>
  </si>
  <si>
    <t>Polvere atomizzata</t>
  </si>
  <si>
    <t>Lana minerale</t>
  </si>
  <si>
    <t>Gesso</t>
  </si>
  <si>
    <t>Gesso secondario essiccato</t>
  </si>
  <si>
    <t>Pannelli in cartongesso</t>
  </si>
  <si>
    <t>Pasta kraft a fibre corte</t>
  </si>
  <si>
    <t>Pasta kraft a fibre lunghe</t>
  </si>
  <si>
    <t>Pasta al bisolfito, pasta termomeccanica e meccanica</t>
  </si>
  <si>
    <t>Pasta di carta recuperata</t>
  </si>
  <si>
    <t>Carta da giornale</t>
  </si>
  <si>
    <t>Carta fine non patinata</t>
  </si>
  <si>
    <t>Carta fine patinata</t>
  </si>
  <si>
    <t>Carta tissue</t>
  </si>
  <si>
    <t>Testliner e fluting</t>
  </si>
  <si>
    <t>Cartone non patinato</t>
  </si>
  <si>
    <t>Cartone patinato</t>
  </si>
  <si>
    <t>Nerofumo (carbon black)</t>
  </si>
  <si>
    <t>Acido nitrico</t>
  </si>
  <si>
    <t>Acido adipico</t>
  </si>
  <si>
    <t>Ammoniaca</t>
  </si>
  <si>
    <t>Cracking con vapore</t>
  </si>
  <si>
    <t>Idrocarburi aromatici</t>
  </si>
  <si>
    <t>Stirene</t>
  </si>
  <si>
    <t>Fenolo/acetone</t>
  </si>
  <si>
    <t>Ossido di etilene/glicoli etilenici</t>
  </si>
  <si>
    <t>Cloruro di vinile monomero (VCM)</t>
  </si>
  <si>
    <t>Idrogeno</t>
  </si>
  <si>
    <t>Gas di sintesi</t>
  </si>
  <si>
    <t>Soda</t>
  </si>
  <si>
    <t>Sottoimpianto oggetto di un parametro di riferimento relativo al calore, CL</t>
  </si>
  <si>
    <t>Sottoimpianto oggetto di un parametro di riferimento relativo al calore, non CL</t>
  </si>
  <si>
    <t>Sottoimpianto oggetto di un parametro di riferimento relativo al combustibile, CL</t>
  </si>
  <si>
    <t>Sottoimpianto oggetto di un parametro di riferimento relativo al combustibile, non CL</t>
  </si>
  <si>
    <t>Sottoimpianto con emissioni di processo, CL</t>
  </si>
  <si>
    <t>Sottoimpianto con emissioni di processo, non CL</t>
  </si>
  <si>
    <t>Petrolio greggio</t>
  </si>
  <si>
    <t>Orimulsione</t>
  </si>
  <si>
    <t>Liquidi da gas naturale</t>
  </si>
  <si>
    <t>Benzina</t>
  </si>
  <si>
    <t>Benzina avio (AvGas)</t>
  </si>
  <si>
    <t>Benzina per aeromobili (Jet B)</t>
  </si>
  <si>
    <t>Kerosene per aeromobili (jet A1 o jet A)</t>
  </si>
  <si>
    <t>Olio di scisto</t>
  </si>
  <si>
    <t>Gasolio/Diesel</t>
  </si>
  <si>
    <t>Olio combustibile residuo</t>
  </si>
  <si>
    <t>Gas di petrolio liquefatto</t>
  </si>
  <si>
    <t>Etano</t>
  </si>
  <si>
    <t>Nafta</t>
  </si>
  <si>
    <t>Bitume</t>
  </si>
  <si>
    <t>Lubrificanti</t>
  </si>
  <si>
    <t>Coke di petrolio</t>
  </si>
  <si>
    <t>Cariche di raffineria</t>
  </si>
  <si>
    <t>Gas di raffineria</t>
  </si>
  <si>
    <t>Cera di paraffina</t>
  </si>
  <si>
    <t>Acqua ragia minerale (white spirit) e solventi con punto di ebollizione speciale (SBP)</t>
  </si>
  <si>
    <t>Altri prodotti petroliferi</t>
  </si>
  <si>
    <t>Antracite</t>
  </si>
  <si>
    <t>Carbone da coke</t>
  </si>
  <si>
    <t>Altro carbone bituminoso</t>
  </si>
  <si>
    <t>Carbone sub-bituminoso</t>
  </si>
  <si>
    <t>Scisto bituminoso e sabbie bituminose</t>
  </si>
  <si>
    <t>Coke da cokeria siderurgica e coke di lignite</t>
  </si>
  <si>
    <t>Coke da gas</t>
  </si>
  <si>
    <t>Catrame di carbone</t>
  </si>
  <si>
    <t>Gas di officine del gas</t>
  </si>
  <si>
    <t>Gas di cokeria siderurgica</t>
  </si>
  <si>
    <t>Gas di altoforno</t>
  </si>
  <si>
    <t>Gas di forno di acciaieria a ossigeno</t>
  </si>
  <si>
    <t>Gas naturale</t>
  </si>
  <si>
    <t>Rifiuti industriali</t>
  </si>
  <si>
    <t>Oli usati</t>
  </si>
  <si>
    <t>Torba</t>
  </si>
  <si>
    <t>Legno/rifiuti del legno</t>
  </si>
  <si>
    <t>Altre biomasse solide primarie</t>
  </si>
  <si>
    <t>Carbone di legna</t>
  </si>
  <si>
    <t>Biocarburante (benzina)</t>
  </si>
  <si>
    <t>Biodiesel</t>
  </si>
  <si>
    <t>Altri biocombustibili liquidi</t>
  </si>
  <si>
    <t>Gas di discarica</t>
  </si>
  <si>
    <t>Gas di fanghi</t>
  </si>
  <si>
    <t>Altri biogas</t>
  </si>
  <si>
    <t>Pneumatici usati</t>
  </si>
  <si>
    <t>Monossido di carbonio</t>
  </si>
  <si>
    <t>Metano</t>
  </si>
  <si>
    <t>Area di navigazione:</t>
  </si>
  <si>
    <t>Foglio successivo</t>
  </si>
  <si>
    <t xml:space="preserve">Sintesi </t>
  </si>
  <si>
    <t>Inizio foglio</t>
  </si>
  <si>
    <t>Fine foglio</t>
  </si>
  <si>
    <t>INDICE</t>
  </si>
  <si>
    <t>Versione linguistica:</t>
  </si>
  <si>
    <t>Nome file di riferimento:</t>
  </si>
  <si>
    <t>Informazioni su questo file:</t>
  </si>
  <si>
    <t>Denominazione impianto:</t>
  </si>
  <si>
    <t>Identificativo univoco dell'impianto:</t>
  </si>
  <si>
    <t>Se l'autorità competente richiede la presentazione di una copia cartacea firmata della comunicazione, usare lo spazio sottostante per la firma:</t>
  </si>
  <si>
    <t>Data</t>
  </si>
  <si>
    <t>Nome e firma della
persona legalmente responsabile</t>
  </si>
  <si>
    <t>Indice</t>
  </si>
  <si>
    <t>Foglio precedente</t>
  </si>
  <si>
    <t>LINEE GUIDA E CONDIZIONI</t>
  </si>
  <si>
    <t>Informazioni generali sul presente modello</t>
  </si>
  <si>
    <t>Come utilizzare questo file</t>
  </si>
  <si>
    <t>Si raccomanda di leggere il file dall'inizio alla fine. Alcune funzioni che guidano il lettore nella compilazione del modulo sono strettamente collegate alle funzioni precedenti, come per esempio le celle che cambiano colore se non è necessario inserire determinate informazioni (cfr. i codici dei colori riportati di seguito). Talvolta è tuttavia utile continuare a inserire i dati in un altro foglio prima di proseguire (per esempio, devono essere inseriti dati in "H_specialBM" prima che "F_ProductBM" possa essere completato nei casi in cui debba essere applicato l'allegato III delle CIM).</t>
  </si>
  <si>
    <t>Ogni volta che deve essere riportato un valore pari a zero, si raccomanda di inserirlo anziché lasciare la cella vuota. Se una cella viene lasciata vuota, l'autorità competente non può sapere se il valore non è stato riportato, è irrilevante o sconosciuto. I valori necessari per i calcoli vanno sempre inseriti (soprattutto se il valore è pari a zero, in quanto alcune formule non forniscono i risultati finché le celle corrispondenti sono vuote).</t>
  </si>
  <si>
    <t>In alcuni campi è possibile scegliere una risposta da una rosa di informazioni predefinite. Per selezionare una voce da un "elenco a tendina" è possibile cliccare con il mouse sulla freccetta posta sul margine destro della cella o premere "Alt-CursorDown" dopo aver selezionato la cella. Alcuni campi consentono al lettore di inserire un testo proprio anche se è presente un elenco a tendina. In casi come questi gli elenchi a tendina contengono voci vuote.</t>
  </si>
  <si>
    <t>Talvolta possono comparire messaggi di errore quando i dati inseriti sono incompleti. La mancanza di messaggi di errore non garantisce tuttavia che i calcoli siano corretti, in quanto non sempre è possibile verificare la completezza dei dati. Se non compaiono risultati in un campo verde, si può presumere che manchino ancora alcuni dati.</t>
  </si>
  <si>
    <t>Prestare particolare attenzione alla congruenza dei dati con le unità visualizzate.</t>
  </si>
  <si>
    <t>I messaggi di errore sono spesso molto brevi a causa dello spazio limitato disponibile. I più importanti sono:</t>
  </si>
  <si>
    <t>Significa che i dati non sono sufficienti per il calcolo (per esempio, manca un fattore di emissione in un anno).</t>
  </si>
  <si>
    <t>Le unità selezionate sono incongruenti e i calcoli basati sui relativi dati inseriti daranno risultati errati.</t>
  </si>
  <si>
    <t>Dati inseriti in A.III.3!</t>
  </si>
  <si>
    <t>Si tratta di riferimenti alle sezioni del documento. Significa che mancano i dati nelle sezioni cui si fa riferimento.</t>
  </si>
  <si>
    <t>Codici di colore e font:</t>
  </si>
  <si>
    <t>Testo nero in grassetto:</t>
  </si>
  <si>
    <t>Si tratta di un testo che descrive i dati da inserire.</t>
  </si>
  <si>
    <t>Testo con caratteri più piccoli in corsivo:</t>
  </si>
  <si>
    <t xml:space="preserve">Si tratta di un testo che fornisce ulteriori spiegazioni. </t>
  </si>
  <si>
    <t>I campi in giallo devono essere compilati. Tuttavia, se l'argomento non è pertinente per l'impianto, non è richiesto alcun dato.</t>
  </si>
  <si>
    <t>I campi in giallo chiaro indicano che l'inserimento di dati è facoltativo.</t>
  </si>
  <si>
    <t>I campi in verde indicano i risultati calcolati automaticamente. Il testo in rosso indica i messaggi di errore (dati mancanti e simili).</t>
  </si>
  <si>
    <t>I campi ombreggiati possono non essere compilati, perché è già stato compilato un altro campo obbligatorio.</t>
  </si>
  <si>
    <t>Le aree grigie dovrebbero essere compilate dagli Stati membri prima della pubblicazione della versione personalizzata del modello.</t>
  </si>
  <si>
    <t>Le aree evidenziate in grigio chiaro sono dedicate alla navigazione e agli hyperlink.</t>
  </si>
  <si>
    <t>I pannelli di navigazione nella parte superiore di ogni foglio forniscono hyperlink per passare rapidamente a singole sezioni di dati. La prima riga ("Indice", "Foglio precedente", "Foglio successivo", "Sintesi") e i punti "Inizio foglio" e "Fine foglio" sono identici per tutti i fogli. A seconda del foglio, si aggiungono altre opzioni del menu. Se lo sfondo di una delle aree degli hyperlink diventa rosso, mancano i dati nella relativa sezione (non i tutti i fogli)</t>
  </si>
  <si>
    <t>In questo modello è stato bloccato l'inserimento di dati, fatta eccezione per i campi verdi. Per motivi di trasparenza, non è stato tuttavia stabilito l'uso di una password, in modo da consentire una visualizzazione completa di tutte le formule. Quando si usa questo file per inserire i dati, si raccomanda di mantenere la protezione attivata. La protezione deve essere disattivata soltanto per verificare la validità delle formule. Si raccomanda di eseguire questa operazione in un file separato.</t>
  </si>
  <si>
    <t>Per evitare di modificare involontariamente le formule, con la conseguenza di risultati errati e fuorvianti, 
è molto importante NON USARE la funzione TAGLIA &amp; INCOLLA.
Eventuali dati da spostare devono essere COPIATI e INCOLLATI, cancellando successivamente i dati indesiderati nella posizione precedente (errata).</t>
  </si>
  <si>
    <t>I campi di dati non sono stati ottimizzati per i formati numerici e di altro tipo. La protezione dei fogli è stata tuttavia limitata per consentire l'uso di propri formati. In particolare, è possibile decidere il numero di posizioni decimali da visualizzare. Il numero di posizioni decimali è in linea di principio indipendente dalla precisione del calcolo. In linea di massima deve essere disattivata l'opzione "Approssimazione come visualizzata" di Excel. Per maggiori informazioni, consultare la Guida di Excel sull'argomento.</t>
  </si>
  <si>
    <t>CLAUSOLA DI ESONERO DALLA RESPONSABILITÀ: tutte le formule sono state create in modo particolarmente scrupoloso, tuttavia non può essere completamente esclusa la presenza di errori.
Come descritto in precedenza, è garantita la piena trasparenza per la verifica della validità dei calcoli. Né gli autori di questo file né la Commissione europea possono essere ritenuti responsabili di eventuali danni derivanti da risultati errati o fuorvianti dei calcoli forniti.
Spetta all'utente di questo file (per esempio, il gestore di un impianto rientrante nel sistema ETS) la responsabilità di garantire la comunicazione dei dati corretti all'autorità competente.</t>
  </si>
  <si>
    <t>Informazioni specifiche riguardanti gli Stati membri:</t>
  </si>
  <si>
    <t>La presente comunicazione deve essere inviata all'autorità competente al seguente indirizzo:</t>
  </si>
  <si>
    <t>Fonti di informazioni:</t>
  </si>
  <si>
    <t>Siti Internet dell'UE:</t>
  </si>
  <si>
    <t>Normativa dell'UE:</t>
  </si>
  <si>
    <t>Sistema ETS dell'UE in generale:</t>
  </si>
  <si>
    <t>Altri siti Internet:</t>
  </si>
  <si>
    <t>Servizio di assistenza:</t>
  </si>
  <si>
    <t>Ulteriori linee guida fornite dallo Stato membro:</t>
  </si>
  <si>
    <t xml:space="preserve">&lt;&lt;&lt; Cliccare qui per passare al foglio successivo &gt;&gt;&gt; </t>
  </si>
  <si>
    <t>A.
Dati dell'impianto</t>
  </si>
  <si>
    <t>Identificativo dell'impianto</t>
  </si>
  <si>
    <t>Referenti</t>
  </si>
  <si>
    <t>Responsabile della verifica</t>
  </si>
  <si>
    <t>Ulteriori informazioni</t>
  </si>
  <si>
    <t>Ammissibilità</t>
  </si>
  <si>
    <t>Connessioni tecniche</t>
  </si>
  <si>
    <t>Identificazione dell'impianto</t>
  </si>
  <si>
    <t>Informazioni generali:</t>
  </si>
  <si>
    <t>Denominazione dell'impianto:</t>
  </si>
  <si>
    <t>Questo nominativo dovrebbe essere uguale a quello già utilizzato per la corrispondenza con l'autorità competente.</t>
  </si>
  <si>
    <t>Stato membro in cui l'impianto è situato:</t>
  </si>
  <si>
    <t>L'impianto è stato incluso in precedenza nel sistema ETS dell'UE?</t>
  </si>
  <si>
    <t>Identificativo univoco fornito dall'autorità competente:</t>
  </si>
  <si>
    <t xml:space="preserve">Le autorità competenti devono garantire che sia disponibile un identificativo univoco prima di comunicare qualsiasi dato alla Commissione europea. </t>
  </si>
  <si>
    <t>Codice identificativo dell'impianto nel registro:</t>
  </si>
  <si>
    <t>Di norma si tratta di un numero naturale, ossia un codice diverso da quello identificativo dell'autorizzazione utilizzato nel registro.</t>
  </si>
  <si>
    <t>Identificativo univoco suggerito per la notifica alla Commissione:</t>
  </si>
  <si>
    <t>Informazioni sull'autorizzazione all'emissione di gas a effetto serra:</t>
  </si>
  <si>
    <t>Fornire qui le informazioni sull'autorizzazione all'emissione di gas a effetto serra (= autorizzazione rilasciata conformemente agli articoli 5 e 6 della direttiva sul sistema ETS dell'UE).</t>
  </si>
  <si>
    <t>Gli Stati membri possono rendere queste informazioni facoltative se l'autorità competente ne è già in possesso.</t>
  </si>
  <si>
    <t>Nome dell'autorità competente:</t>
  </si>
  <si>
    <t>Prima autorizzazione all'emissione di gas a effetto serra ricevuta quando l'impianto è stato incluso nel sistema ETS per la prima volta:</t>
  </si>
  <si>
    <t>Identificativo dell'autorizzazione:</t>
  </si>
  <si>
    <t>Data di rilascio:</t>
  </si>
  <si>
    <t>Ultimo aggiornamento dell'autorizzazione, se applicabile:</t>
  </si>
  <si>
    <t>Dati relativi al gestore:</t>
  </si>
  <si>
    <t>Il gestore è la persona [fisica o giuridica] che gestisce o controlla un impianto o, se previsto dalla normativa nazionale, alla quale è stato delegato il potere economico decisionale riguardo al funzionamento tecnico dell'impianto.</t>
  </si>
  <si>
    <t>Nome del gestore:</t>
  </si>
  <si>
    <t>Via, numero:</t>
  </si>
  <si>
    <t>CAP:</t>
  </si>
  <si>
    <t>Città:</t>
  </si>
  <si>
    <t>Paese:</t>
  </si>
  <si>
    <t>Nome del rappresentante autorizzato:</t>
  </si>
  <si>
    <t>Indirizzo di posta elettronica:</t>
  </si>
  <si>
    <t>Telefono:</t>
  </si>
  <si>
    <t>Indirizzo dell'impianto:</t>
  </si>
  <si>
    <t>Referenti:</t>
  </si>
  <si>
    <t>Indicare il nome delle persone alle quali l'autorità competente può rivolgersi in caso di questioni relative alla presente comunicazione, compresa la sua verifica.</t>
  </si>
  <si>
    <t>Referente principale per le questioni tecniche relative ai dati dell'impianto:</t>
  </si>
  <si>
    <t>Nome:</t>
  </si>
  <si>
    <t>Referente alternativo:</t>
  </si>
  <si>
    <t>Denominazione dell'impresa:</t>
  </si>
  <si>
    <t>Referente per il responsabile della verifica:</t>
  </si>
  <si>
    <t>La persona designata deve essere a conoscenza di questa comunicazione. Idealmente dovrebbe essere il responsabile principale della verifica coinvolto in questa comunicazione.</t>
  </si>
  <si>
    <t>Numero di telefono:</t>
  </si>
  <si>
    <t>Informazioni sull'accreditamento o il riconoscimento del responsabile della verifica:</t>
  </si>
  <si>
    <t>Qualora lo Stato membro non utilizzi l'accreditamento ma un altro metodo di riconoscimento dei responsabili della verifica, le informazioni pertinenti devono essere inserite di seguito come se si trattasse di un accreditamento.</t>
  </si>
  <si>
    <t>La disponibilità di tali informazioni di registrazione può dipendere dalla prassi di accreditamento/autorizzazione dei responsabili della verifica dello Stato membro amministratore.</t>
  </si>
  <si>
    <t>Stato membro di accreditamento:</t>
  </si>
  <si>
    <t>Numero di registrazione rilasciato dall'organismo di accreditamento:</t>
  </si>
  <si>
    <t>Ulteriori dati dell'impianto:</t>
  </si>
  <si>
    <t>Attività di cui all'allegato I della direttiva sul sistema ETS dell'UE:</t>
  </si>
  <si>
    <t>Per quanto possibile, ordinare l'elenco relativo alle emissioni dirette iniziando con l'attività che provoca le emissioni dirette più elevate.</t>
  </si>
  <si>
    <t>Numero</t>
  </si>
  <si>
    <t>Nome dell'attività (allegato I della direttiva sul sistema ETS)</t>
  </si>
  <si>
    <t>Con quale codice NACE la propria impresa ha denunciato il valore aggiunto per le statistiche strutturali sulle imprese?</t>
  </si>
  <si>
    <t>Se non si è sicuri dei valori da inserire qui, rivolgersi al proprio istituto nazionale di statistica competente.</t>
  </si>
  <si>
    <t xml:space="preserve">NACE Rev. 1.1 è disponibile all'indirizzo: </t>
  </si>
  <si>
    <t xml:space="preserve">NACE Rev. 2.0 è disponibile all'indirizzo: </t>
  </si>
  <si>
    <t>I codici NACE devono essere inseriti a livello di 4 cifre, nella forma "nnnn", ossia senza punti o altri delimitatori.</t>
  </si>
  <si>
    <t>Se non si inseriscono esattamente 4 cifre compare un messaggio di errore.</t>
  </si>
  <si>
    <t>Il codice NACE riportato per il 2007 utilizzando la classificazione NACE Rev 1.1:</t>
  </si>
  <si>
    <t>Il codice NACE riportato per il 2010 utilizzando la classificazione NACE Rev 2:</t>
  </si>
  <si>
    <t>Fornire il codice identificativo dell'impianto nell'EPRTR, se applicabile:</t>
  </si>
  <si>
    <t>L'EPRTR è il registro europeo delle emissioni e dei trasferimenti di sostanze inquinanti.</t>
  </si>
  <si>
    <t>Questa informazione è importante per le autorità competenti per i controlli di coerenza e l'allineamento delle fonti di informazioni ambientali.</t>
  </si>
  <si>
    <t>Ammissibilità all'assegnazione gratuita di quote di emissioni:</t>
  </si>
  <si>
    <t>L'impianto produce elettricità ai sensi dell'articolo 3, lettera u), della direttiva?</t>
  </si>
  <si>
    <t>In base alla definizione di cui all'articolo 3, lettera u), per "impianto di produzione di elettricità" si intende un impianto che, al 1° gennaio 2005 o successivamente, ha prodotto elettricità al fine della vendita a terzi e nel quale non si effettua alcuna attività elencata all'allegato I diversa dalla "combustione di carburanti".</t>
  </si>
  <si>
    <t>La Commissione ha fornito un documento di orientamento per identificare gli impianti di produzione di elettricità.</t>
  </si>
  <si>
    <t>L'impianto è deputato alla cattura di CO2, una conduttura per il trasporto di CO2 o un sito di stoccaggio di CO2?</t>
  </si>
  <si>
    <t>Questo impianto è considerato un impianto di cui all'articolo 10 bis, paragrafo 3, della direttiva sul sistema ETS dell'UE:</t>
  </si>
  <si>
    <t xml:space="preserve">Se la risposta ad (a) o (b) è stata positiva, la risposta a (c) è automaticamente positiva. </t>
  </si>
  <si>
    <t>L'impianto produce calore?</t>
  </si>
  <si>
    <t>Se non devono essere comunicati altri dati, non è neppure necessario verificare questa comunicazione.</t>
  </si>
  <si>
    <t>Richiesta di assegnazione gratuita di quote:</t>
  </si>
  <si>
    <t>Se le risposte  alle lettere (a) e (b) sono entrambe negative, o se la risposta alla lettera  (d) è positiva, l'impianto può essere considerato ammissibile all'assegnazione gratuita di quote di emissioni ai sensi dell'articolo 10 bis della direttiva sul sistema ETS dell'UE. Se pertinente per l'impianto, confermare qui che si richiede un'assegnazione gratuita di quote ai sensi dell'articolo 10 bis:</t>
  </si>
  <si>
    <t>Nota importante:</t>
  </si>
  <si>
    <t>Consenso all'uso dei dati contenuti in questo file:</t>
  </si>
  <si>
    <t>Impianti che sono in servizio solo occasionalmente:</t>
  </si>
  <si>
    <t>Sono compresi in particolare gli impianti di riserva o di emergenza e gli impianti che funzionano in base a un calendario stagionale (articolo 9, paragrafo 8, delle CIM).</t>
  </si>
  <si>
    <t>Condizioni:</t>
  </si>
  <si>
    <t>è stato chiaramente dimostrato che l’impianto è utilizzato occasionalmente, in particolare è utilizzato regolarmente in quanto capacità di emergenza o di riserva o utilizzato regolarmente secondo un calendario stagionale;</t>
  </si>
  <si>
    <t>l’impianto beneficia di un’autorizzazione ad emettere gas a effetto serra e di tutte le altre autorizzazioni pertinenti richieste dall’ordinamento giuridico nazionale dello Stato membro interessato;</t>
  </si>
  <si>
    <t>è tecnicamente possibile mettere in funzione l’impianto con un breve preavviso e la manutenzione è effettuata periodicamente.</t>
  </si>
  <si>
    <t>Confermare qui se l'impianto soddisfa questi criteri:</t>
  </si>
  <si>
    <t>Nota:</t>
  </si>
  <si>
    <t>Per ogni tipo di prodotto, può essere scelto soltanto un sottoimpianto. I prodotti simili che rientrano nella stessa definizione di prodotto nelle CIM sono aggregati.</t>
  </si>
  <si>
    <t>Il nome di ogni sottoimpianto può essere inserito soltanto una volta, altrimenti alcune parti di questo modello potrebbero non funzionare correttamente.</t>
  </si>
  <si>
    <t>N.</t>
  </si>
  <si>
    <t>Esposto a rilocalizzazione delle emissioni di carbonio?</t>
  </si>
  <si>
    <t>Per ogni tipo di approccio alternativo, possono esistere al massimo due sottoimpianti, di cui uno esposto a un rischio elevato di rilocalizzazione delle emissioni di carbonio e l'altro non esposto.</t>
  </si>
  <si>
    <t>Dati utilizzati per determinare la capacità installata iniziale ai sensi dell'articolo 7, paragrafo 3, delle CIM:</t>
  </si>
  <si>
    <t>Quando si determina il "livello di produzione" devono essere rispettate le definizioni dei vari sottoimpianti alternativi (articolo 3, lettere c), d) e h)).</t>
  </si>
  <si>
    <t>In particolare, per i sottoimpianti oggetto di un parametro di riferimento di calore deve essere comunicato soltanto il quantitativo di calore misurabile prodotto nell'impianto o importato da impianti rientranti nel sistema ETS e consumato nei limiti dell'impianto per la produzione di prodotti o la produzione di energia meccanica (diversa da quella utilizzata per la produzione di elettricità), per il riscaldamento o il raffreddamento, ad eccezione del consumo per la produzione di elettricità, o esportato verso un impianto o un'altra entità non rientranti nel sistema dell'Unione ad eccezione dell'esportazione per la produzione di elettricità.</t>
  </si>
  <si>
    <t>Dati relativi alla produzione mensile più elevata o all'attività:</t>
  </si>
  <si>
    <t>Inserire qui per ogni sottoimpianto e ogni anno i due valori di produzione mensile più elevati nell'unità visualizzata automaticamente.</t>
  </si>
  <si>
    <t>Sottoimpianto</t>
  </si>
  <si>
    <t>Determinazione della capacità installata iniziale:</t>
  </si>
  <si>
    <t>Elenco dei collegamenti tecnici</t>
  </si>
  <si>
    <t>Inserire qui le informazioni pertinenti per identificare i collegamenti tecnici all'impianto:</t>
  </si>
  <si>
    <t>Questa informazione è necessaria per l'autorità competente per garantire la congruenza dei dati forniti e per evitare il doppio conteggio dei dati per l'assegnazione di quote di emissioni.</t>
  </si>
  <si>
    <t>I flussi di materiale e/o di energia tra i sottoimpianti non sono pertinenti, ad eccezione del calore derivante dalla produzione di acido nitrico.</t>
  </si>
  <si>
    <t>Nella colonna "Tipo di entità" possono essere selezionate le seguenti opzioni:</t>
  </si>
  <si>
    <t>Caso speciale: produzione di acido nitrico:</t>
  </si>
  <si>
    <t>Selezionare questa opzione per indicare che l'impianto utilizza il calore derivante dalla produzione di acido nitrico.</t>
  </si>
  <si>
    <t>Indicare questo fatto anche se la produzione di acido nitrico avviene all'interno del proprio impianto e non soltanto se il proprio impianto è collegato all'impianto di produzione di acido nitrico.</t>
  </si>
  <si>
    <t>Questa informazione è importante per il bilancio termico (foglio "E_EnergyFlows", sezione II)</t>
  </si>
  <si>
    <t>I tipi di opzioni di collegamento sono:</t>
  </si>
  <si>
    <t>Le opzioni di direzione del flusso sono (prospettiva dell'impianto al quale questa comunicazione si riferisce):</t>
  </si>
  <si>
    <t>Importazione (verso questo impianto)</t>
  </si>
  <si>
    <t>Esportazione (da questo impianto)</t>
  </si>
  <si>
    <t>Nome dell'impianto o dell'entità</t>
  </si>
  <si>
    <t>Tipo di entità</t>
  </si>
  <si>
    <t>Tipo di collegamento</t>
  </si>
  <si>
    <t>Direzione del flusso</t>
  </si>
  <si>
    <t>Inserire qui ulteriori informazioni sugli impianti collegati, se pertinente:</t>
  </si>
  <si>
    <t>Il nome del referente e i dettagli di contatto per gli impianti rientranti nel sistema ETS dell'UE sono facoltativi, salvo che siano resi obbligatori dall'autorità competente.</t>
  </si>
  <si>
    <t>Per le entità non incluse nel sistema ETS dell'UE, i dettagli di contatto sono obbligatori, tuttavia non è richiesto l'identificativo dell'impianto del catalogo indipendente comunitario delle operazioni (Community Independent Transaction Log - CITL).</t>
  </si>
  <si>
    <t>Identificativo dell'impianto utilizzato nel CITL</t>
  </si>
  <si>
    <t>Nome del referente</t>
  </si>
  <si>
    <t>indirizzo di posta elettronica</t>
  </si>
  <si>
    <t>numero di telefono</t>
  </si>
  <si>
    <t>Voce per memoria: emissioni da biomassa</t>
  </si>
  <si>
    <t>D.
Emissioni</t>
  </si>
  <si>
    <t>Emissioni e energia in ingresso</t>
  </si>
  <si>
    <t>Attribuzione di emissioni</t>
  </si>
  <si>
    <t>Gas di scarico (1)</t>
  </si>
  <si>
    <t>Gas di scarico (2)</t>
  </si>
  <si>
    <t>Foglio "Emissions" – ATTRIBUZIONE DI EMISSIONI</t>
  </si>
  <si>
    <t>Emissioni dirette totali di gas a effetto serra e energia in ingresso da combustibili</t>
  </si>
  <si>
    <t>Dati a livello di impianto:</t>
  </si>
  <si>
    <t>Emissioni totali di CO2</t>
  </si>
  <si>
    <t>Emissioni totali di N2O</t>
  </si>
  <si>
    <t>Emissioni totali di PFC</t>
  </si>
  <si>
    <t>Emissioni dirette totali dell'impianto</t>
  </si>
  <si>
    <t>Energia totale in ingresso derivata da combustibili</t>
  </si>
  <si>
    <t>Risultato dei dati a livello di impianto da usare nei fogli "D_Emissions" e "E_EnergyFlows":</t>
  </si>
  <si>
    <t>Attribuzione di emissioni a sottoimpianti</t>
  </si>
  <si>
    <t>Attribuzione a sottoimpianti</t>
  </si>
  <si>
    <t>Questa sezione è necessaria per determinare i livelli di attività storica per i sottoimpianti con emissioni di processo.</t>
  </si>
  <si>
    <t>Metodo di inserimento dei dati:</t>
  </si>
  <si>
    <t>È possibile scegliere il metodo per inserire i valori nella tabella di seguito riportata alla lettera (b). Le opzioni disponibili sono: "Valori assoluti" (inserire t CO2e/anno), o "percentuali".</t>
  </si>
  <si>
    <t>Per accelerare l'inserimento dei dati nei casi più semplici, nei quali la maggior parte dei valori da inserire sono "100%" o zero, le percentuali sono la scelta migliore.</t>
  </si>
  <si>
    <t>Attribuzione ai sottoimpianti pertinenti:</t>
  </si>
  <si>
    <t>La tabella che segue è intesa a fornire un'attribuzione di emissioni nei vari tipi di sottoimpianti.</t>
  </si>
  <si>
    <t>Ciò significa che 100% = emissioni dirette totali dell'impianto.</t>
  </si>
  <si>
    <t>La tabella non tiene conto della differenziazione relativa all'esposizione al rischio di rilocalizzazione delle emissioni di carbonio e ai vari parametri di riferimento di prodotto.</t>
  </si>
  <si>
    <t>Soltanto per i sottoimpianti con emissioni di processo si distingue tra "CL" (esposto a un rischio elevato di rilocalizzazione delle emissioni di carbonio) e "non CL" (non esposto al rischio di rilocalizzazione delle emissioni di carbonio).</t>
  </si>
  <si>
    <t>Per i gas di scarico al di fuori dei limiti dei parametri di riferimento dei prodotti, per calcolare le emissioni di processo deve essere utilizzato lo strumento "gas di scarico" sottostante.</t>
  </si>
  <si>
    <t>Emissioni relative ai parametri di riferimento di prodotto</t>
  </si>
  <si>
    <t>Emissioni relative ai sottoimpianti oggetto del parametro di riferimento di calore</t>
  </si>
  <si>
    <t>Emissioni relative ai sottoimpianti oggetto del parametro di riferimento di combustibile</t>
  </si>
  <si>
    <t>Controllo: altre emissioni (non ammissibili)</t>
  </si>
  <si>
    <t>A fini di controllo, i dati sono visualizzati qui nell'unità non scelta per l'inserimento dei dati:</t>
  </si>
  <si>
    <t>In base alla definizione di cui all'articolo 3, lettera h), delle CIM, i gas di scarico (combustibili) prodotti  al di fuori dei limiti dei parametri di riferimento di prodotto sono considerati emissioni di processo.</t>
  </si>
  <si>
    <t>Tuttavia, per i gas di scarico deve essere detratto dalle emissioni totali di processo un quantitativo di CO2 equivalente al gas naturale utilizzato per il "tenore di energia tecnicamente utilizzabile".</t>
  </si>
  <si>
    <t>Il quantitativo di emissioni di processo senza tale detrazione viene definito in appresso "emissioni di processo non corrette".</t>
  </si>
  <si>
    <t>Per determinare il "tenore di energia tecnicamente utilizzabile" sono necessarie le seguenti informazioni.</t>
  </si>
  <si>
    <t>quantitativo di gas di scarico utilizzati per la produzione di elettricità e per la produzione di calore misurabile o di altro tipo al di fuori degli impianti oggetto del parametro di prodotto o esportato al di fuori dell'impianto;</t>
  </si>
  <si>
    <t>in via facoltativa (per il controllo di congruenza), devono essere comunicate le emissioni di processo associate a tali quantitativi di gas di scarico;</t>
  </si>
  <si>
    <t>potere calorifico netto dei gas di scarico;</t>
  </si>
  <si>
    <t>le ipotesi per i vari gradi di efficacia dell'uso dei gas di scarico e dei gas naturali. Le ipotesi sono le seguenti: l'efficienza della produzione di elettricità con gas naturale è del 52,5%, con gas di scarico è del 35%;</t>
  </si>
  <si>
    <t>fattore di emissione di gas naturale: 56,1 t CO2/TJ.</t>
  </si>
  <si>
    <t>Strumento per il calcolo del quantitativo di emissioni di processo se i gas di scarico sono prodotti fuori dai limiti dei parametri di riferimento di prodotto</t>
  </si>
  <si>
    <t>Questa sezione riguarda i sottoimpianti con emissioni di processo di questo tipo:</t>
  </si>
  <si>
    <t>Selezionare qui a quale dei due sottoimpianti con emissioni di processo si riferiscono i dati di questo strumento.</t>
  </si>
  <si>
    <t>Poiché in un impianto possono essere interessati i due possibili sottoimpianti o possono essere presenti vari gas di scarico, lo "strumento per i gas di scarico" compare due volte in questo modello.</t>
  </si>
  <si>
    <t>La produzione, non l'utilizzo, del gas di scarico è pertinente per determinare il sottoimpianto corretto.</t>
  </si>
  <si>
    <t>Confermare se i gas di scarico sono pertinenti per questo sottoimpianto:</t>
  </si>
  <si>
    <t>Tipo di gas di scarico:</t>
  </si>
  <si>
    <t>Descrivere il gas di scarico e il processo dal quale deriva. Sopra inserire un nome per il flusso di gas, sotto fornire una breve descrizione del processo.</t>
  </si>
  <si>
    <t>Se nell'impianto sono pertinenti vari gas di scarico, fornire i dettagli in file separati utilizzando questo strumento.</t>
  </si>
  <si>
    <t>Quantitativo totale delle emissioni di processo prima di detrarre un quantitativo equivalente per il tenore di energia tecnicamente utilizzabile:</t>
  </si>
  <si>
    <t>Questo quantitativo deve essere coerente con lo stato relativo alla rilocalizzazione delle emissioni di carbonio selezionato alla precedente lettera (b).</t>
  </si>
  <si>
    <t>Emissioni di processo non corrette</t>
  </si>
  <si>
    <t>Stima delle emissioni di gas di scarico</t>
  </si>
  <si>
    <t>Fornire eventualmente, e soltanto ai fini del controllo di congruenza, una stima del quantitativo di emissioni relativo ai gas di scarico utilizzati o esportati.</t>
  </si>
  <si>
    <t>Questo quantitativo deve essere coerente con il quantitativo di gas di scarico di cui alla successiva lettera (f).</t>
  </si>
  <si>
    <t>Emissioni da gas di scarico</t>
  </si>
  <si>
    <t>fuori dai limiti dei parametri di riferimento di prodotto</t>
  </si>
  <si>
    <t>Quantitativo di gas di scarico prodotti al di fuori dei sottoimpianti oggetto del parametro di riferimento di prodotto, anche per le esportazioni:</t>
  </si>
  <si>
    <t>È pertinente soltanto il gas di scarico utilizzato per la produzione di calore o di elettricità. Se il gas di scarico deriva dalla combustione in torcia, è pertinente soltanto il quantitativo di gas di scarico relativo alla combustione in torcia per ragioni di sicurezza.</t>
  </si>
  <si>
    <t>È possibile usare per la comunicazione le tonnellate o 1000 Nm3 (metri cubi in condizioni normali). Le unità devono essere coerenti con quelle indicate di seguito per il potere calorifico netto.</t>
  </si>
  <si>
    <t>Quantitativo di gas di scarico per anno</t>
  </si>
  <si>
    <t>Potere calorifico netto dei gas di scarico</t>
  </si>
  <si>
    <t>È possibile usare per la comunicazione GJ/t o GJ/1000 Nm3. Le unità devono essere coerenti con quelle indicate in precedenza per i quantitativi.</t>
  </si>
  <si>
    <t>Potere calorifico netto</t>
  </si>
  <si>
    <t>Ipotesi necessarie:</t>
  </si>
  <si>
    <t>Efficienza di riferimento per la produzione di elettricità:</t>
  </si>
  <si>
    <t>utilizzando gas naturale:</t>
  </si>
  <si>
    <t>utilizzando gas di scarico:</t>
  </si>
  <si>
    <t>Fattore di emissione per il gas naturale:</t>
  </si>
  <si>
    <t>Emissioni da detrarre per tenere conto del tenore di energia tecnicamente utilizzabile:</t>
  </si>
  <si>
    <t>Questi quantitativi sono calcolati automaticamente sulla base dei dati inseriti in precedenza. La formula viene descritta nella nota di orientamento n. 8.</t>
  </si>
  <si>
    <t>Detrazione per i gas di scarico</t>
  </si>
  <si>
    <t>Emissioni di processo calcolate tenendo conto della correzione per i gas di scarico (=d-i)</t>
  </si>
  <si>
    <t>Si tratta del risultato finale di questo strumento. I valori visualizzati qui devono essere inseriti nella precedente sezione D.II.2(b), per il sottoimpianto appropriato.</t>
  </si>
  <si>
    <t>I risultati del calcolo possono essere considerati corretti soltanto se nelle sezioni precedenti vengono riportati dati completi e coerenti.</t>
  </si>
  <si>
    <t>Se il risultato è negativo, viene impostato a zero.</t>
  </si>
  <si>
    <t>Risultato dello strumento relativo ai gas di scarico:</t>
  </si>
  <si>
    <t>E.
Flussi di energia</t>
  </si>
  <si>
    <t>Attribuzione di combustibili</t>
  </si>
  <si>
    <t>Calore (risultato finale)</t>
  </si>
  <si>
    <t>Elettricità</t>
  </si>
  <si>
    <t>Foglio "EnergyFlows" - DATI SULL'ENERGIA IN INGRESSO, IL CALORE MISURABILE E L'ELETTRICITÀ</t>
  </si>
  <si>
    <t>Energia in ingresso derivata da combustibili</t>
  </si>
  <si>
    <t>Panoramica e suddivisione in categorie di uso</t>
  </si>
  <si>
    <t>Energia in ingresso derivata da combustibili, impianto totale (tratti dal foglio "D_Emissions", sezione I):</t>
  </si>
  <si>
    <t>È possibile scegliere il metodo di inserimento dei valori nella seguente tabella alla lettera (c). Le opzioni possibili sono: "Valori assoluti" (inserire TJ/anno), o "percentuali".</t>
  </si>
  <si>
    <t>Distribuzione del combustibile in ingresso per vari usi (valori assoluti)</t>
  </si>
  <si>
    <t>Nella tabella di seguito riportata inserire il quantitativo di energia consumata per ogni tipo di uso, o – a seconda dei dati inseriti (b) – la percentuale del quantitativo (a).</t>
  </si>
  <si>
    <t xml:space="preserve">Prestare particolare attenzione all'attribuzione di energia in ingresso ai due sottoimpianti che sono pertinenti ai fini dell'assegnazione di quote di emissioni: </t>
  </si>
  <si>
    <t>Sottoimpianto oggetto del parametro di riferimento del combustibile "CL" (esposto a un rischio elevato di rilocalizzazione delle emissioni di carbonio) e "non CL" (non esposto al rischio di rilocalizzazione delle emissioni di carbonio).</t>
  </si>
  <si>
    <t>Ai fini del controllo, il resto (100% meno il totale degli input) viene visualizzato nella riga in basso. Si riferisce all'energia in ingresso non ammissibile all'assegnazione.</t>
  </si>
  <si>
    <t>Tipo di uso del combustibile in ingresso</t>
  </si>
  <si>
    <t xml:space="preserve">Combustibile in ingresso per la produzione di elettricità                   </t>
  </si>
  <si>
    <t>Combustibile in ingresso per la produzione di calore misurabile</t>
  </si>
  <si>
    <t>Combustibile in ingresso come parte dei parametri di riferimento di prodotto</t>
  </si>
  <si>
    <t>Resto</t>
  </si>
  <si>
    <t>Tutti i dati relativi al calore devono far riferimento al "quantitativo netto di calore misurabile" (ossia il tenore di calore o il flusso di calore verso gli utenti meno il tenore di calore del flusso di ritorno).</t>
  </si>
  <si>
    <t>Suddivisione dei sottoimpianti – metodo di inserimento dei dati:</t>
  </si>
  <si>
    <t>Attribuzione dei sottoimpianti oggetto del parametro di riferimento di calore ai livelli di esposizione alla rilocalizzazione delle emissioni di carbonio:</t>
  </si>
  <si>
    <t>I dati sono utilizzati automaticamente nel foglio "G_Fall-back". L'inserimento dei dati è pertanto obbligatorio qui, se viene utilizzato questo strumento.</t>
  </si>
  <si>
    <t>Dati per il controllo:</t>
  </si>
  <si>
    <t>Descrizione del metodo di calcolo utilizzato:</t>
  </si>
  <si>
    <t>Se sono pertinenti entrambi i tipi di calore in ingresso, "ammissibile" (autoprodotto e/o importato da impianti rientranti nel sistema ETS) e "non ammissibile" (importato da impianti non rientranti nel sistema ETS o prodotto da un sottoimpianto di produzione di acido nitrico), E si verificano entrambi gli usi del calore, ossia "ammissibile" (uso interno e/o esportazione verso impianti non rientranti nel sistema ETS) e "non ammissibile" (esportazione verso impianti rientranti nel sistema ETS), è necessario evidenziare i casi ammissibili e non ammissibili.</t>
  </si>
  <si>
    <t>A tale scopo viene proposta una gerarchia di metodi:</t>
  </si>
  <si>
    <t>Se i quantitativi di calore possono essere chiaramente identificati (in quanto le connessioni alla rete di calore sono chiaramente definite o per i livelli di pressione del vapore e così via), i quantitativi di calore ammissibili e non ammissibili devono essere indicati in base alla situazione effettiva.</t>
  </si>
  <si>
    <t>Se ciò non è fattibile, tutti gli usi devono essere ponderati in base al rapporto degli input (input ETS: input totale) come definito in precedenza.</t>
  </si>
  <si>
    <t>Ai fini di questo modello, si utilizza il seguente metodo per gradi:</t>
  </si>
  <si>
    <t>Si calcola un bilancio separato per il consumo di calore "ammissibile" e "non ammissibile".</t>
  </si>
  <si>
    <t>Per la produzione di elettricità, il consumo di calore viene suddiviso a seconda del rapporto visualizzato alla lettera (e), salvo che il quantitativo di calore derivato da fonti non ammissibili sia inserito manualmente alla lettera (f).iii.</t>
  </si>
  <si>
    <t>Per i parametri di riferimento di prodotto, viene richiesto l'inserimento del quantitativo totale di calore misurato alla successiva lettera (g). Il quantitativo di calore "non ammissibile" è la somma dei dati inseriti nel foglio "F_ProductBM", sezione (d).i di ogni sottoimpianto (indicato qui alla successiva lettera (g).ii ).</t>
  </si>
  <si>
    <t>Le esportazioni di calore verso gli impianti rientranti nel sistema ETS (successiva sezione (h)) devono sempre essere considerate come calore derivato da fonti ammissibili, in quanto il consumatore del calore non dispone delle informazioni relative all'ammissibilità del calore prodotto a monte. Per evitare un doppio conteggio, il calore deve quindi essere detratto dal quantitativo ammissibile nell'impianto. Il quantitativo deve essere limitato dal calore totale disponibile "ammissibile" dell'impianto.</t>
  </si>
  <si>
    <t>Partendo dal quantitativo restante di calore misurabile, si deve determinare quanto calore viene consumato nell'impianto (tranne per la produzione di elettricità e per i sottoimpianti oggetto del parametro di riferimento di prodotto). Il quantitativo di calore "ammissibile" restante alla fine delle fasi precedenti costituisce il limite superiore.</t>
  </si>
  <si>
    <t>Dopo queste detrazioni di calore dal quantitativo disponibile, viene calcolato un nuovo "indice di ammissibilità" (lettera (j)).</t>
  </si>
  <si>
    <t>Il quantitativo ammissibile restante può essere attribuito a entrambi i sottoimpianti oggetto del parametro di riferimento di calore. Le perdite di calore sono visualizzate ai fini di completezza.</t>
  </si>
  <si>
    <t>Calore in ingresso</t>
  </si>
  <si>
    <t>Quantitativo netto totale di calore misurabile prodotto nell'impianto:</t>
  </si>
  <si>
    <t>Si noti che il calore prodotto da sottoimpianti di produzione di acido nitrico deve essere indicato alla lettera (c) come "importazione non rientrante nel sistema ETS".</t>
  </si>
  <si>
    <t>Calore misurabile prodotto</t>
  </si>
  <si>
    <t>Calore misurabile importato da impianti rientranti nel sistema ETS dell'UE:</t>
  </si>
  <si>
    <t>I nomi degli impianti presenti nell'elenco a tendina sono tratti dalla sezione A.IV, nella quale devono pertanto essere stati inseriti dati completi.</t>
  </si>
  <si>
    <t>Nome dell'impianto</t>
  </si>
  <si>
    <t>Totale parziale</t>
  </si>
  <si>
    <t>Calore misurabile importato da impianti e entità non rientranti nel sistema ETS dell'UE (non ammissibili per il parametro di riferimento di calore):</t>
  </si>
  <si>
    <t xml:space="preserve">Sono inclusi i sottoimpianti di produzione di acido nitrico (selezionare "All'interno dell'impianto" come nome dell'impianto se la produzione di acido nitrico fa parte dell'impianto). </t>
  </si>
  <si>
    <t>Si noti che i dati inseriti qui devono essere controllati al fine di evitare un doppio conteggio con le detrazioni nell'ambito dei sottoimpianti oggetto del parametro di riferimento di prodotto (vedere foglio "ProductBM").</t>
  </si>
  <si>
    <t>Somma del calore misurabile disponibile a livello di impianto (=a+b+c)</t>
  </si>
  <si>
    <t>Calore misurabile totale</t>
  </si>
  <si>
    <t>Rapporto tra "calore ETS" e "calore totale"</t>
  </si>
  <si>
    <t>Il "calore ETS" è il calore prodotto nell'impianto sommato al calore importato da impianti rientranti nel sistema ETS (=a+b).</t>
  </si>
  <si>
    <t xml:space="preserve">Il calore totale è il calore ETS sommato al calore importato da entità e impianti non rientranti nel sistema ETS (=a+b+c). </t>
  </si>
  <si>
    <t>Indice del calore in ingresso (a+b)/(a+b+c):</t>
  </si>
  <si>
    <t>Calore non rientrante nell'ambito dei sottoimpianti oggetto del parametro di riferimento di calore</t>
  </si>
  <si>
    <t>Prima che il calore rientrante nell'ambito dei sottoimpianti oggetto del parametro di riferimento di calore possa essere quantificato, deve essere identificato anche il quantitativo ammissibile a tale scopo.</t>
  </si>
  <si>
    <t>In una prima fase vengono considerati i quantitativi non ammissibili per l'uso di calore all'interno dell'impianto.</t>
  </si>
  <si>
    <t xml:space="preserve">Si tratta del quantitativo di calore utilizzato per la produzione di elettricità e del calore consumato nei sottoimpianti oggetto del parametro di riferimento di prodotto. </t>
  </si>
  <si>
    <t>Calore misurabile consumato per la produzione di elettricità nell'impianto (non ammissibile per il parametro di riferimento di calore):</t>
  </si>
  <si>
    <t>Come impostazione predefinita, si presume che tutto il calore utilizzato per la produzione di elettricità sia suddiviso tra input ammissibili e non ammissibili utilizzando il rapporto calcolato alla lettera (e).</t>
  </si>
  <si>
    <t>Tuttavia, se sono disponibili informazioni più precise (ad esempio, per il fatto che il vapore proveniente da varie fonti è distinguibile grazie a diversi livelli di pressione e simili), di seguito è possibile inserire quantitativi alternativi di calore "non ammissibile". Se il quantitativo supera quello indicato alla lettera (c).iv, si utilizza il massimo disponibile per un ulteriore calcolo.</t>
  </si>
  <si>
    <t>Calore utilizzato per la produzione di elettricità</t>
  </si>
  <si>
    <t>Quantitativo di calore proveniente da fonti non rientranti nel sistema ETS</t>
  </si>
  <si>
    <t>Disinserimento manuale di (ii)</t>
  </si>
  <si>
    <t>Calore misurabile consumato per sottoimpianti oggetto del parametro di riferimento di prodotto all'interno dell'impianto (non ammissibile per il parametro di riferimento di calore):</t>
  </si>
  <si>
    <t>In base all'articolo 13 delle CIM, un quantitativo di CO2 equivalente per le importazioni di calore che non rientrano nel sistema ETS deve essere detratto dal quantitativo preliminare di quote di emissioni per i parametri di riferimento di prodotto. I dati necessari per tale correzione sono quelli inseriti nel foglio "F_ProductBM", sezione (d) di ogni sottoimpianto.</t>
  </si>
  <si>
    <t>Qui è pertanto incluso un controllo di plausibilità di tali dati.</t>
  </si>
  <si>
    <t>Calore consumato in sottoimpianti oggetto del parametro di riferimento di prodotto</t>
  </si>
  <si>
    <t>Valori inseriti nel foglio "F_ProductBM":</t>
  </si>
  <si>
    <t>Controllo di plausibilità:</t>
  </si>
  <si>
    <t>Ricontrollare questa sezione dopo avere completato il foglio "F_ProductBM", se del caso, per evitare di inserire dati non plausibili.</t>
  </si>
  <si>
    <t>Il modo migliore per compilare questa sezione è inserire per primi i dati nel foglio "F_ProductBM" e solo successivamente continuare con la successiva lettera (h).</t>
  </si>
  <si>
    <t>Calore non rientrante nel sistema ETS indicato nel foglio "F_ProductBM" rispetto al quantitativo totale di calore per tutti i parametri di riferimento di prodotto:</t>
  </si>
  <si>
    <t>Punto ii in relazione al punto i:</t>
  </si>
  <si>
    <t>Calore non rientrante nel sistema ETS indicato nel foglio "F_ProductBM" rispetto al quantitativo totale di calore non rientrante nel sistema ETS importato indicato alla precedente lettera (c):</t>
  </si>
  <si>
    <t>Punto iii in relazione alla precedente lettera (c):</t>
  </si>
  <si>
    <t>Calore esportato verso impianti rientranti nel sistema ETS (non ammissibili per il parametro di riferimento di calore):</t>
  </si>
  <si>
    <t>Questo quantitativo è assegnato a chi consuma il calore.</t>
  </si>
  <si>
    <t>Calore totale esportato verso impianti rientranti nel sistema ETS</t>
  </si>
  <si>
    <t>Sottoimpianti oggetto del parametro di riferimento di calore:</t>
  </si>
  <si>
    <t>Subtotale: calore misurabile totale restante, potenzialmente appartenente a sottoimpianti oggetto del parametro di riferimento di calore (=d-f-g-h):</t>
  </si>
  <si>
    <t>Totale parziale:</t>
  </si>
  <si>
    <t>Questo quantitativo può essere suddiviso in calore "ammissibile" e "non ammissibile" (a seconda dell'origine,vedere l'introduzione alla sezione II.2).</t>
  </si>
  <si>
    <t>Successivamente il fattore determinato alla lettera (e) viene corretto tenendo conto del calore residuo ammissibile e non ammissibile. Questo fattore viene utilizzato per la lettera (l).</t>
  </si>
  <si>
    <t>ammissibile per origine:</t>
  </si>
  <si>
    <t>non ammissibile per origine:</t>
  </si>
  <si>
    <t>Indice di ammissibilità per il calore restante calcolato alla lettera (i):</t>
  </si>
  <si>
    <t>indice di ammissibilità corretto (=(i).ii / (i).i):</t>
  </si>
  <si>
    <t>Quantitativo netto di calore misurabile consumato nell'impianto e ammissibile in base al parametro di riferimento di calore:</t>
  </si>
  <si>
    <t>Si tratta del consumo nell'impianto tranne quello ai fini elencati alle lettere (f) e (g).</t>
  </si>
  <si>
    <t>Calore consumato nell'impianto</t>
  </si>
  <si>
    <t>Calore esportato verso impianti o entità non rientranti nel sistema ETS dell'UE (ad esempio, reti di riscaldamento urbane):</t>
  </si>
  <si>
    <t>Nome dell'entità o dell'impianto ricevente</t>
  </si>
  <si>
    <t>Calore totale esportato verso impianti non rientranti nel sistema ETS:</t>
  </si>
  <si>
    <t>Perdite di calore (=i-k-l)</t>
  </si>
  <si>
    <t>Questa tabella riporta le perdite di calore calcolate (ossia il quantitativo di calore non indicato alle lettere f, g, h, k e l) per motivi di completezza del bilancio termico.</t>
  </si>
  <si>
    <t>La visualizzazione di valori negativi significa che i livelli di consumo del calore indicati in precedenza superano il quantitativo di calore disponibile derivato dalla produzione e dalle importazioni.</t>
  </si>
  <si>
    <t>Perdite di calore (calcolate)</t>
  </si>
  <si>
    <t>Perdite di calore (frazione di calore disponibile =d)</t>
  </si>
  <si>
    <t>Quantitativo totale di calore che potrebbe far parte dei sottoimpianti oggetto del parametro di riferimento di calore (=k+l):</t>
  </si>
  <si>
    <t>Sottoimpianti oggetto del parametro di riferimento di calore totale:</t>
  </si>
  <si>
    <t>Risultato finale: quantitativo di calore attribuibile ai sottoimpianti oggetto del parametro di riferimento di calore</t>
  </si>
  <si>
    <t>Questo risultato viene calcolato come alla lettera (n) moltiplicato per l'indice di ammissibilità corretto determinato alla lettera (j).</t>
  </si>
  <si>
    <t>Il valore massimo consentito è il quantitativo ammissibile identificato alla lettera (i).i.</t>
  </si>
  <si>
    <t>Calore da considerare per i sottoimpianti oggetto di un parametro di riferimento di calore</t>
  </si>
  <si>
    <t>È possibile scegliere il metodo di inserimento dei valori nella seguente tabella alla lettera (q). Le opzioni possibili sono: "Valori assoluti" (inserire TJ/anno), o "percentuali".</t>
  </si>
  <si>
    <t>Identificare qui il quantitativo di calore misurabile consumato da ogni sottoimpianto, in cui 100% si riferisce alla somma calcolata alla precedente lettera (o).</t>
  </si>
  <si>
    <t>Sottoimpianto oggetto del parametro di riferimento di calore "CL" (esposto a un rischio elevato di rilocalizzazione delle emissioni di carbonio) e "non CL" (non esposto al rischio di rilocalizzazione delle emissioni di carbonio).</t>
  </si>
  <si>
    <t>Bilancio completo di elettricità a livello di impianto</t>
  </si>
  <si>
    <t>Quantitativo netto totale di elettricità prodotta nell'impianto</t>
  </si>
  <si>
    <t>Tra gli altri tipi di produzione di elettricità sono compresi quelli idroelettrico, solare, eolico, da turbine ad espansione e altri processi non rientranti nel sistema ETS.</t>
  </si>
  <si>
    <t>Elettricità netta prodotta da combustibili</t>
  </si>
  <si>
    <t>Altra elettricità prodotta</t>
  </si>
  <si>
    <t>Elettricità totale importata dalla rete o da altri impianti</t>
  </si>
  <si>
    <t>Elettricità importata</t>
  </si>
  <si>
    <t>Elettricità totale esportata verso la rete o altri impianti</t>
  </si>
  <si>
    <t>Elettricità esportata</t>
  </si>
  <si>
    <t>Elettricità totale disponibile per essere usata nell'impianto (= a+b-c)</t>
  </si>
  <si>
    <t>Elettricità utilizzabile</t>
  </si>
  <si>
    <t>Elettricità totale consumata nell'impianto</t>
  </si>
  <si>
    <t>Elettricità consumata nell'impianto</t>
  </si>
  <si>
    <t>Controllo di plausibilità: somma del dato dell'elettricità inserito nel foglio "F_ProductBM" per l'intercambiabilità dell'elettricità</t>
  </si>
  <si>
    <t>Elettricità immessa come intercambiabile</t>
  </si>
  <si>
    <t>Confrontare con (e)</t>
  </si>
  <si>
    <t>F. 
Parametro di riferimento di prodotto</t>
  </si>
  <si>
    <t>Foglio "ProductBM" – DATI DEI SOTTOIMPIANTI RELATIVI AI PARAMETRI DI RIFERIMENTO DI PRODOTTO</t>
  </si>
  <si>
    <t>Livelli di attività storica e dati di produzione disaggregati</t>
  </si>
  <si>
    <t>In questo punto devono essere riportati i "livelli di attività principale ", ossia i dati direttamente applicabili per il calcolo delle quote di emissione da assegnare.</t>
  </si>
  <si>
    <t xml:space="preserve">Di norma si tratta dei dati di produzione del prodotto, ossia tonnellate di clinker di cemento grigio o tonnellate di bottiglie di vetro, secondo quanto definito dall'allegato I delle CIM. </t>
  </si>
  <si>
    <t>Livello di attività principale:</t>
  </si>
  <si>
    <t>Dal foglio "H_SpecialBM":</t>
  </si>
  <si>
    <t>Valori utilizzati per il calcolo:</t>
  </si>
  <si>
    <t>Requisiti di comunicazione speciali:</t>
  </si>
  <si>
    <t>Nel caso di alcuni parametri di riferimento di prodotto devono essere riportate informazioni particolari (ad esempio, i valori CWT). Se pertinente, comparirà qui un messaggio generato automaticamente.</t>
  </si>
  <si>
    <t>Intercambiabilità combustibile/elettricità:</t>
  </si>
  <si>
    <t>Se pertinente, comparirà qui un messaggio generato automaticamente per richiedere l'inserimento dei dati necessari per tenere conto dell'intercambiabilità combustibile/elettricità.</t>
  </si>
  <si>
    <t>In base all'articolo 14 delle CIM, sono necessari i seguenti dati:</t>
  </si>
  <si>
    <t>le emissioni dirette attribuite al sottoimpianto;</t>
  </si>
  <si>
    <t>il quantitativo netto di calore [misurabile] importato dal sottoimpianto da altri impianti o altre entità rientranti nel sistema ETS;</t>
  </si>
  <si>
    <t>il consumo di elettricità PERTINENTE del sottoimpianto come specificato nella definizione dei processi di cui all'allegato I delle CIM.</t>
  </si>
  <si>
    <t>Parametro</t>
  </si>
  <si>
    <t>Consumo di elettricità pertinente</t>
  </si>
  <si>
    <t>Emissioni dirette totali</t>
  </si>
  <si>
    <t>Emissioni indirette</t>
  </si>
  <si>
    <t>Fattore per la correzione delle quote da assegnare:</t>
  </si>
  <si>
    <t>Calore importato da impianti o entità non rientranti nel sistema ETS:</t>
  </si>
  <si>
    <t>Ai sensi dell'articolo 13 delle CIM, dal quantitativo annuo preliminare di quote di emissioni assegnate per i sottoimpianti oggetto del parametro di prodotto deve essere sottratto un quantitativo di emissioni.</t>
  </si>
  <si>
    <t>Si tratta del quantitativo di calore misurabile importato da impianti o entità che non rientrano nel sistema ETS moltiplicato per il valore del parametro di riferimento di calore.</t>
  </si>
  <si>
    <t>Verifica di congruenza con il foglio "E_Energy flows":</t>
  </si>
  <si>
    <t>Quantitativo per la correzione delle quote da assegnare:</t>
  </si>
  <si>
    <t>Fattore di utilizzo della capacità pertinente:</t>
  </si>
  <si>
    <t>Questo fattore è adimensionale. È possibile inserire un valore compreso tra 0 e 1 o tra 0% e 100%. Nel secondo caso Excel traduce il dato in un numero.</t>
  </si>
  <si>
    <t>Data di inizio</t>
  </si>
  <si>
    <t>Dati di produzione</t>
  </si>
  <si>
    <t>Identificazione dei prodotti inclusi nel sottoimpianto oggetto di un parametro di riferimento di prodotto</t>
  </si>
  <si>
    <t>Un parametro di riferimento di prodotto può comprendere vari prodotti simili (o gruppi di prodotti). In alcuni casi, i prodotti intermedi possono essere pertinenti ai fini dell'assegnazione delle quote di emissioni. I prodotti pertinenti devono essere identificati qui per consentire all'autorità competente di controllare se sono rispettati i limiti definiti per il parametro di riferimento di prodotto.</t>
  </si>
  <si>
    <t>Un elenco di codici PRODCOM 2007 è disponibile all'indirizzo:</t>
  </si>
  <si>
    <t>Un elenco di codici PRODCOM 2010 è disponibile all'indirizzo:</t>
  </si>
  <si>
    <t>Nome del prodotto o del gruppo di prodotti</t>
  </si>
  <si>
    <t>Singoli livelli di produzione dei prodotti inclusi nel sottoimpianto oggetto di un parametro di riferimento di prodotto</t>
  </si>
  <si>
    <t>Somma dei livelli di produzione</t>
  </si>
  <si>
    <t>G. 
Alternativo</t>
  </si>
  <si>
    <t>Parametro di riferimento di calore, CL</t>
  </si>
  <si>
    <t>Parametro di riferimento di calore, non CL</t>
  </si>
  <si>
    <t>Parametro di riferimento di combustibili, CL</t>
  </si>
  <si>
    <t>Parametro di riferimento di combustibili, non CL</t>
  </si>
  <si>
    <t>Emissioni di processo, CL</t>
  </si>
  <si>
    <t>Emissioni di processo, non CL</t>
  </si>
  <si>
    <t>Foglio "Fall-back" - DATI RELATIVI AI SOTTOIMPIANTI ALTERNATIVI</t>
  </si>
  <si>
    <t>Identificazione dei prodotti o servizi pertinenti associati al sottoimpianto</t>
  </si>
  <si>
    <t>Elencare qui a quali processi produttivi o servizi il sottoimpianto si riferisce. Possono essere incluse le seguenti voci:</t>
  </si>
  <si>
    <t>produzione di merci non rientranti nei parametri di riferimento di prodotto nell'impianto (indicare i tipi di prodotto);</t>
  </si>
  <si>
    <t>produzione di energia meccanica, riscaldamento o raffreddamento (tutti gli usi tranne la produzione di elettricità);</t>
  </si>
  <si>
    <t>esportazione di calore verso impianti o altre entità (ad esempio, reti termiche). In questo caso, indicare l'uso del calore nell'impianto o nell'entità, se noto.</t>
  </si>
  <si>
    <t>Le opzioni sono: "Riscaldamento urbano", "sconosciuto", o una specifica del processo produttivo. Sono possibili anche prodotti con parametri di riferimento.</t>
  </si>
  <si>
    <t>Si noti che in caso di calore esportato, qui devono essere indicati soltanto i tipi di usi del calore non effettuati in impianti rientranti nel sistema ETS.</t>
  </si>
  <si>
    <t xml:space="preserve">I codici PRODCOM / NACE devono essere inseriti almeno a livello di 4 cifre, preferibilmente con una disaggregazione più elevata (ossia più cifre), nella forma "nnnn" o "nnnnnnnn", ossia senza punti o altri delimitatori tra i numeri. È obbligatorio PRODCOM 2007 (utilizzato per determinare l'elenco delle rilocalizzazioni delle emissioni di carbonio (decisione 2010/2/UE) e quindi pertinente per l'allegato I delle CIM), mentre i codici PRODCOM 2010 sono facoltativi. </t>
  </si>
  <si>
    <t>Anziché i codici PRODCOM possono essere utilizzati i codici NACE se sono interessati più prodotti simili all'interno dello stesso gruppo NACE.</t>
  </si>
  <si>
    <t>Gli Stati membri possono decidere di rendere queste informazioni obbligatorie.</t>
  </si>
  <si>
    <t>Tipo di uso</t>
  </si>
  <si>
    <t>All'interno dell'impianto o esportazione?</t>
  </si>
  <si>
    <t>Nome del prodotto, o "riscaldamento urbano"</t>
  </si>
  <si>
    <t>Disaggregazione dei livelli di produzione, se pertinente:</t>
  </si>
  <si>
    <t>Gli Stati membri possono chiedere di comunicare obbligatoriamente i livelli di produzione per i singoli prodotti identificati alla precedente lettera (l). Se questo vale per il proprio Stato membro, le celle di seguito riportate relative al periodo di riferimento scelto saranno evidenziate in giallo brillante (vedere i codici dei colori nel foglio "b_Guidelines &amp; conditions").</t>
  </si>
  <si>
    <t>H. 
PR speciale</t>
  </si>
  <si>
    <t>Foglio "SpecialBM" – DATI SPECIALI PER ALCUNI PARAMETRI DI RIFERIMENTO DI PRODOTTO</t>
  </si>
  <si>
    <t>CWT (prodotti di raffineria)</t>
  </si>
  <si>
    <t>Strumento per il calcolo dei livelli di attività storica per sottoimpianti di raffinazione</t>
  </si>
  <si>
    <t>Questo strumento serve per determinare i livelli di attività storica (HAL) per il parametro di riferimento relativo alle raffinerie (allegato III, punto 1, delle CIM).</t>
  </si>
  <si>
    <t>Per il parametro di riferimento relativo agli idrocarburi aromatici, che utilizza anche la funzione CWT, usare il seguente strumento CWT specifico per gli idrocarburi aromatici (sezione V di questo foglio).</t>
  </si>
  <si>
    <t>Pertinenza di questo metodo nel proprio impianto:</t>
  </si>
  <si>
    <t>Dati CWT completi</t>
  </si>
  <si>
    <t>Inserire qui i dati annuali completi per ogni funzione CWT.</t>
  </si>
  <si>
    <t>Per la definizione e i limiti di ogni funzione CWT vedere l'allegato II, punto 1, delle CIM.</t>
  </si>
  <si>
    <t>Per la base si usano le seguenti abbreviazioni:</t>
  </si>
  <si>
    <t>Carica fresca netta</t>
  </si>
  <si>
    <t>Carica del reattore (compreso il riciclaggio)</t>
  </si>
  <si>
    <t>Carica di prodotto</t>
  </si>
  <si>
    <t>Produzione di gas di sintesi per unità POX</t>
  </si>
  <si>
    <t>Nota importante: conformemente all'allegato II delle CIM, le unità per la comunicazione sono le chilotonnellate.</t>
  </si>
  <si>
    <t>Funzione CWT</t>
  </si>
  <si>
    <t>Fattore CWT</t>
  </si>
  <si>
    <t>Distillazione atmosferica del greggio</t>
  </si>
  <si>
    <t>Distillazione sotto vuoto</t>
  </si>
  <si>
    <t>Deasfaltazione di solventi</t>
  </si>
  <si>
    <t>Riduzione della viscosità (visbreaking)</t>
  </si>
  <si>
    <t>Cracking termico</t>
  </si>
  <si>
    <t>Cokefazione ritardata</t>
  </si>
  <si>
    <t>Cokefazione fluida</t>
  </si>
  <si>
    <t>Cokefazione flessibile</t>
  </si>
  <si>
    <t>Calcinazione di coke</t>
  </si>
  <si>
    <t>Cracking catalitico fluido</t>
  </si>
  <si>
    <t>Altro cracking catalitico</t>
  </si>
  <si>
    <t>Idrocracking di distillato/gasolio</t>
  </si>
  <si>
    <t>Idrocracking di residui</t>
  </si>
  <si>
    <t>Idrotrattamento di nafta/benzina</t>
  </si>
  <si>
    <t>Idrotrattamento di cherosene/diesel</t>
  </si>
  <si>
    <t>Idrotrattamento di residui</t>
  </si>
  <si>
    <t>Idrotrattamento di gasolio sottovuoto (VGO)</t>
  </si>
  <si>
    <t>Produzione di idrogeno</t>
  </si>
  <si>
    <t>Reforming catalitico</t>
  </si>
  <si>
    <t>Alchilazione</t>
  </si>
  <si>
    <t>Isomerizzazione di C4</t>
  </si>
  <si>
    <t>Isomerizzazione di C5/C6</t>
  </si>
  <si>
    <t>Produzione di ossigenati</t>
  </si>
  <si>
    <t>Produzione di propilene</t>
  </si>
  <si>
    <t>Fabbricazione di asfalto</t>
  </si>
  <si>
    <t>Miscelazione di asfalto modificato con polimeri</t>
  </si>
  <si>
    <t>Recupero di zolfo</t>
  </si>
  <si>
    <t>Estrazione di aromatici con solventi (Aromatic solvent extraction, ASE)</t>
  </si>
  <si>
    <t>Idrodealchilazione</t>
  </si>
  <si>
    <t>TDP/TDA</t>
  </si>
  <si>
    <t>Produzione di cicloesano</t>
  </si>
  <si>
    <t>Isomerizzazione di xilene</t>
  </si>
  <si>
    <t>Produzione di paraxilolo</t>
  </si>
  <si>
    <t>Produzione di metaxilene</t>
  </si>
  <si>
    <t>Produzione di anidride ftalica</t>
  </si>
  <si>
    <t>Produzione di anidride maleica</t>
  </si>
  <si>
    <t>Produzione di etilbenzene</t>
  </si>
  <si>
    <t>Produzione di cumene</t>
  </si>
  <si>
    <t>Produzione di fenolo</t>
  </si>
  <si>
    <t>Estrazione di lubrificanti con solvente</t>
  </si>
  <si>
    <t>Deparaffinazione di lubrificanti con solvente</t>
  </si>
  <si>
    <t>Isomerizzazione catalitica di paraffine</t>
  </si>
  <si>
    <t>Idrocracker di lubrificanti</t>
  </si>
  <si>
    <t>Deoliazione paraffine</t>
  </si>
  <si>
    <t>Idrotrattamento lubrificanti/paraffine</t>
  </si>
  <si>
    <t>Idrotrattamento di solventi</t>
  </si>
  <si>
    <t>Frazionamento di solventi</t>
  </si>
  <si>
    <t>Setaccio molecolare per paraffine C10+</t>
  </si>
  <si>
    <t>Ossidazione parziale (POX) di cariche di residui per la produzione di combustibile</t>
  </si>
  <si>
    <t>Ossidazione parziale (POX) di cariche di residui per la produzione di idrogeno o metanolo</t>
  </si>
  <si>
    <t>Metanolo da syngas</t>
  </si>
  <si>
    <t>Separazione dell'aria</t>
  </si>
  <si>
    <t>Frazionamento di GNL acquistato</t>
  </si>
  <si>
    <t>Trattamento dei fumi</t>
  </si>
  <si>
    <t>Trattamento e compressione dei fumi per la vendita</t>
  </si>
  <si>
    <t>Desalinizzazione dell'acqua di mare</t>
  </si>
  <si>
    <t>Risultato: livelli di attività per il parametro di riferimento relativo alle raffinerie espressi come CWT</t>
  </si>
  <si>
    <t>Il livello di attività della raffineria viene calcolato qui utilizzando la formula fornita nelle CIM, allegato III, punto 1 (determinando prima il valore medio).</t>
  </si>
  <si>
    <t>Nota importante: il dato viene fornito in chilotonnellate, tuttavia il parametro di riferimento è espresso in t CO2/CWT, in cui CWT è espresso in tonnellate.</t>
  </si>
  <si>
    <t>I risultati vengono pertanto moltiplicati per un fattore di 1000, non esplicitamente menzionato nell'allegato III, punto 1, delle CIM.</t>
  </si>
  <si>
    <t>Livello di attività della raffineria</t>
  </si>
  <si>
    <t>Strumento per il calcolo dei livelli di attività storica per sottoimpianti di produzione di calce</t>
  </si>
  <si>
    <t>Questo strumento serve per determinare i livelli di attività storica (HAL) per il parametro di riferimento relativo alla calce (allegato III, punto 2, delle CIM)</t>
  </si>
  <si>
    <t>Produzione di calce non corretta:</t>
  </si>
  <si>
    <t>Inserire qui i dati della produzione annuale espressa in tonnellate di calce, senza correzione per i dati della composizione:</t>
  </si>
  <si>
    <t>produzione di calce non corretta</t>
  </si>
  <si>
    <t>Dati della composizione:</t>
  </si>
  <si>
    <t>Ai sensi dell'allegato III, punto 2, delle CIM, sono richiesti i seguenti dati:</t>
  </si>
  <si>
    <t>contenuto di CaO libero nella calce prodotta durante ogni anno del periodo di riferimento, espressa in % massica;</t>
  </si>
  <si>
    <t>qualora non siano disponibili dati relativi al contenuto di CaO libero, si applica una stima conservativa non inferiore all'85%;</t>
  </si>
  <si>
    <t>contenuto di MgO libero nella calce prodotta durante ogni anno del periodo di riferimento, espresso in % massica;</t>
  </si>
  <si>
    <t>qualora non siano disponibili dati relativi al contenuto di MgO libero, si applica una stima conservativa non inferiore allo 0,5%.</t>
  </si>
  <si>
    <t>Contenuto di CaO</t>
  </si>
  <si>
    <t>Contenuto di MgO</t>
  </si>
  <si>
    <t>Risultato: livelli di attività per la produzione di calce, espressi in calce pura standard</t>
  </si>
  <si>
    <t>Il livello corretto di attività di produzione di calce viene calcolato qui utilizzando la formula fornita nelle CIM, allegato III, punto 2 (determinando prima il valore medio).</t>
  </si>
  <si>
    <t>produzione di calce pura standard</t>
  </si>
  <si>
    <t>Strumento per il calcolo dei livelli di attività storica per sottoimpianti di produzione di calce dolomitica</t>
  </si>
  <si>
    <t>Questo strumento serve per determinare i livelli di attività storica (HAL) per il parametro di riferimento relativo alla calce dolomitica (allegato III, punto 3, delle CIM). Non va utilizzato per la "calce dolomitica sinterizzata".</t>
  </si>
  <si>
    <t>Produzione di calce dolomitica non corretta:</t>
  </si>
  <si>
    <t>Inserire qui i dati della produzione annuale espressa in tonnellate di calce dolomitica, senza correzione per i dati della composizione:</t>
  </si>
  <si>
    <t>produzione di calce dolomitica non corretta</t>
  </si>
  <si>
    <t>Ai sensi dell'allegato III, punto 3, delle CIM, sono richiesti i seguenti dati:</t>
  </si>
  <si>
    <t>contenuto di CaO libero nella calce dolomitica prodotta durante ogni anno del periodo di riferimento, espresso in % massica;</t>
  </si>
  <si>
    <t>qualora non siano disponibili dati relativi al contenuto di CaO libero, si applica una stima conservativa non inferiore al 52%;</t>
  </si>
  <si>
    <t>contenuto di MgO libero nella calce dolomitica prodotta durante ogni anno del periodo di riferimento, espresso in % massica;</t>
  </si>
  <si>
    <t>qualora non siano disponibili dati relativi al contenuto di MgO libero, si applica una stima conservativa non inferiore al 33%.</t>
  </si>
  <si>
    <t>Risultato: livelli di attività per la produzione di calce dolomitica, espressi in calce dolomitica pura standard</t>
  </si>
  <si>
    <t>Il livello corretto di attività di produzione di calce dolomitica viene calcolato qui utilizzando la formula fornita nelle CIM, allegato III, punto 3 (determinando prima il valore medio).</t>
  </si>
  <si>
    <t>produzione di calce dolomitica pura standard</t>
  </si>
  <si>
    <t>Strumento per il calcolo dei livelli di attività storica per sottoimpianti di cracking con vapore</t>
  </si>
  <si>
    <t>Questo strumento serve per determinare i livelli di attività storica (HAL) per il parametro di riferimento del cracking con vapore (allegato III, punto 4, delle CIM).</t>
  </si>
  <si>
    <t>Produzione totale di sostanze chimiche di elevato valore (HVC totali)</t>
  </si>
  <si>
    <t>Inserire qui i dati della produzione annuale espressa in tonnellate di HVC (senza correzioni)</t>
  </si>
  <si>
    <t>HVC totali</t>
  </si>
  <si>
    <t>Dati sulle cariche supplementari:</t>
  </si>
  <si>
    <t>Ai sensi dell'allegato III, punto 4, delle CIM, sono richiesti i seguenti dati:</t>
  </si>
  <si>
    <t>carica supplementare storica di idrogeno in ogni anno del periodo di riferimento, espressa in tonnellate di idrogeno</t>
  </si>
  <si>
    <t>carica supplementare storica di etilene in ogni anno del periodo di riferimento, espressa in tonnellate di etilene</t>
  </si>
  <si>
    <t>carica supplementare storica di sostanze chimiche ad elevato valore aggiunto, diverse dall'idrogeno e dall'etilene, durante ogni anno del periodo di riferimento, espressa in tonnellate di HVC</t>
  </si>
  <si>
    <t>Carica supplementare</t>
  </si>
  <si>
    <t>Etilene</t>
  </si>
  <si>
    <t>Altre HVC</t>
  </si>
  <si>
    <t>Risultato: livelli di attività per le HVC nette</t>
  </si>
  <si>
    <t>Il livello corretto di attività (quantitativo netto di HVC) viene calcolato qui utilizzando la formula fornita nelle CIM, allegato III, punto 4 (determinando prima il valore medio).</t>
  </si>
  <si>
    <t>Livelli di produzione per le HVC nette</t>
  </si>
  <si>
    <t>Parte seconda dello strumento per il cracking con vapore: quote preliminare (articolo 11 delle CIM)</t>
  </si>
  <si>
    <t>Questo strumento serve a determinare le quote preliminari per il sottoimpianto di cracking con vapore (articolo 11 delle CIM).</t>
  </si>
  <si>
    <t>Determina il quantitativo da aggiungere alle quote annuali preliminari previa correzione per l'intercambiabilità dell'elettricità.</t>
  </si>
  <si>
    <t>Produzione da carica supplementare:</t>
  </si>
  <si>
    <t>Produzione da carica supplementare</t>
  </si>
  <si>
    <t>Moltiplicatore 
(t CO2 / t)</t>
  </si>
  <si>
    <t>Risultato: quantitativo da aggiungere alle quote preliminari totali per il sottoimpianto di cracking con vapore:</t>
  </si>
  <si>
    <t>Il calcolo è basato sulla formula fornita nelle CIM, articolo 11.</t>
  </si>
  <si>
    <t>CWT (idrocarburi aromatici)</t>
  </si>
  <si>
    <t>Strumento per il calcolo dei livelli di attività storica per sottoimpianti di produzione di idrocarburi aromatici</t>
  </si>
  <si>
    <t>Questo strumento serve per determinare i livelli di attività storica (HAL) per il parametro di riferimento relativo agli idrocarburi aromatici (allegato III, punto 5, delle CIM)</t>
  </si>
  <si>
    <t>Per il parametro di riferimento relativo alle raffinerie, che utilizza anche la funzione CWT, usare il precedente strumento CWT specifico per le raffinerie (sezione 1 di questo foglio).</t>
  </si>
  <si>
    <t>Per la definizione e i limiti di ogni funzione CWT vedere allegato II, punto 2, delle CIM.</t>
  </si>
  <si>
    <t>Risultato: Livelli di attività per gli idrocarburi aromatici espressi in CWT</t>
  </si>
  <si>
    <t>Il livello di attività di produzione di idrocarburi aromatici viene calcolato qui utilizzando la formula fornita nelle CIM, allegato III, punto 5 (determinando prima il valore medio).</t>
  </si>
  <si>
    <t>I risultati vengono pertanto moltiplicati per un fattore di 1000, non esplicitamente menzionato nell'allegato III, punto 5, delle CIM.</t>
  </si>
  <si>
    <t>Livello di attività di produzione di idrocarburi aromatici</t>
  </si>
  <si>
    <t>Strumento per il calcolo dei livelli di attività storica per sottoimpianti di produzione di idrogeno</t>
  </si>
  <si>
    <t>Questo strumento serve per determinare i livelli di attività storica (HAL) per il parametro di riferimento relativo alla produzione di idrogeno (allegato III, punto 6, delle CIM).</t>
  </si>
  <si>
    <t>Si noti che le percentuali del contenuto di idrogeno vanno espresse in % volumetrica.</t>
  </si>
  <si>
    <t>Volume della produzione totale di idrogeno (non corretto)</t>
  </si>
  <si>
    <t>Inserire qui i dati della produzione annuale di idrogeno relativi al contenuto storico di idrogeno in ogni anno del periodo di riferimento.</t>
  </si>
  <si>
    <t>Tenuto conto delle cifre molto elevate per m3, i dati devono essere inseriti come 1000 Nm3 (metri cubi normalizzati a 0 °C e 101,325 kPa).</t>
  </si>
  <si>
    <t>Produzione totale di idrogeno</t>
  </si>
  <si>
    <t>Frazione volumetrica di idrogeno VF(H2)</t>
  </si>
  <si>
    <t>Inserire qui la frazione volumetrica di idrogeno puro per la produzione storica in ogni anno del periodo di riferimento. Si tratta di una cifra adimensionale.</t>
  </si>
  <si>
    <t xml:space="preserve">La cifra di 95% può essere inserita nella forma "0,95" o "95%". </t>
  </si>
  <si>
    <t>Frazione volumetrica di idrogeno</t>
  </si>
  <si>
    <t>Risultato: livelli di attività per l'idrogeno espressi in tonnellate con il 100% di H2</t>
  </si>
  <si>
    <t>Il livello corretto di attività (relativo al 100% di idrogeno) viene calcolato qui utilizzando la formula fornita nelle CIM, allegato III, punto 6 (determinando prima il valore medio).</t>
  </si>
  <si>
    <t>Se il risultato della formula è negativo, viene sostituito con zero.</t>
  </si>
  <si>
    <t>Idrogeno (espresso in 100% di idrogeno puro)</t>
  </si>
  <si>
    <t>Strumento per il calcolo dei livelli di attività storica per sottoimpianti di produzione di gas di sintesi</t>
  </si>
  <si>
    <t>Questo strumento serve per determinare i livelli di attività storica (HAL) per il parametro di riferimento relativo ai gas di sintesi (allegato III, punto 7, delle CIM).</t>
  </si>
  <si>
    <t>Volume della produzione totale di gas di sintesi (non corretto)</t>
  </si>
  <si>
    <t>Inserire qui di dati della produzione annuale di gas di sintesi relativi al contenuto storico di idrogeno in ogni anno del periodo di riferimento.</t>
  </si>
  <si>
    <t>Produzione totale di gas di sintesi</t>
  </si>
  <si>
    <t>La cifra di 50% può essere inserita nella forma "0,50" o "50%".</t>
  </si>
  <si>
    <t>Risultato: livelli di attività per i gas di sintesi espressi in tonnellate con il 47% di idrogeno</t>
  </si>
  <si>
    <t>Il livello corretto di attività (relativo al 47% di idrogeno) viene calcolato qui utilizzando la formula fornita nelle CIM, allegato III, punto 7 (determinando prima il valore medio).</t>
  </si>
  <si>
    <t>Gas di sintesi (47% di idrogeno)</t>
  </si>
  <si>
    <t>Strumento per il calcolo dei livelli di attività storica per sottoimpianti di produzione di ossido di etilene/glicoli etilenici</t>
  </si>
  <si>
    <t>Questo strumento serve per determinare i livelli di attività storica (HAL) per il parametro di riferimento relativo a ossido di etilene/glicoli etilenici (allegato III, punto 8, delle CIM).</t>
  </si>
  <si>
    <t>Dati di produzione di ossido di etilene e glicoli etilenici:</t>
  </si>
  <si>
    <t>Inserire qui i dati della produzione annuale dei vari prodotti rientranti nell'ambito di questo parametro di riferimento in ogni anno del periodo di riferimento.</t>
  </si>
  <si>
    <t>Nella tabella sono inoltre riportati i valori di CF(EOE) utilizzati per il calcolo. CF(EOE) è il fattore di conversione per ogni sostanza relativa all'ossido di etilene.</t>
  </si>
  <si>
    <t>Ossido di etilene</t>
  </si>
  <si>
    <t>Monoetilenglicole</t>
  </si>
  <si>
    <t>Dietilenglicole</t>
  </si>
  <si>
    <t>Trietilenglicole</t>
  </si>
  <si>
    <t>Somma dei prodotti</t>
  </si>
  <si>
    <t>Risultato: livelli di attività per sottoimpianti oggetto del parametro di riferimento dei prodotti ossido di etilene/glicoli etilenici:</t>
  </si>
  <si>
    <t>Il livello di attività storica espresso in tonnellate di ossido di etilene equivalenti viene calcolato utilizzando la formula fornita nelle CIM, allegato III, punto 8.</t>
  </si>
  <si>
    <t>Totale tonnellate equivalenti di ossido di etilene</t>
  </si>
  <si>
    <t>Strumento per il cloruro di vinile monomero: quote preliminari (articolo 12 delle CIM)</t>
  </si>
  <si>
    <t>Questo strumento serve a determinare le quote preliminari per i sottoimpianti di produzione di cloruro di vinile monomero ("VCM") (articolo 12 delle CIM).</t>
  </si>
  <si>
    <t>Sono richiesti i seguenti dati:</t>
  </si>
  <si>
    <t>i livelli di attività da indicare nel foglio "ProductBM", sezione (a), per il sottoimpianto appropriato;</t>
  </si>
  <si>
    <t>quantitativo netto di calore misurabile importato dal sottoimpianto da altri impianti rientranti nel sistema ETS;</t>
  </si>
  <si>
    <t>emissioni legate all'idrogeno: consumo storico di calore da combustione di idrogeno moltiplicato per 56,1 t CO2/TJ.</t>
  </si>
  <si>
    <t>Dati relativi alle emissioni:</t>
  </si>
  <si>
    <t>Inserire qui i dati richiesti come specificato in precedenza.</t>
  </si>
  <si>
    <t>Emissioni legate all'idrogeno</t>
  </si>
  <si>
    <t>I. 
Requisiti specifici degli Stati membri</t>
  </si>
  <si>
    <t>Foglio "MSspecific" - REQUISITI AGGIUNTIVI SUI DATI DEGLI STATI MEMBRI</t>
  </si>
  <si>
    <t>Devono essere definiti dagli Stati membri</t>
  </si>
  <si>
    <t>J. 
Commenti</t>
  </si>
  <si>
    <t>Sheet "Comments" - COMMENTI E ULTERIORI INFORMAZIONI</t>
  </si>
  <si>
    <t>Documenti a supporto di questa comunicazione</t>
  </si>
  <si>
    <t>Elencare qui tutti i documenti pertinenti presentati insieme alla comunicazione</t>
  </si>
  <si>
    <t>Saranno necessari altri documenti a supporto di questa comunicazione. Fornire queste informazioni in formato elettronico in ogni caso possibile.</t>
  </si>
  <si>
    <t>Le informazioni possono essere fornire nei formati Microsoft Word, Excel, o Adobe Acrobat.</t>
  </si>
  <si>
    <t>Se necessario, verificare con l'autorità competente se sono accettabili altri formati di file diversi da quelli menzionati.</t>
  </si>
  <si>
    <t xml:space="preserve">Eventuali documenti aggiuntivi forniti devono essere chiaramente numerati, e il nome del file/numero di riferimento deve essere specificato di seguito. </t>
  </si>
  <si>
    <t xml:space="preserve">Si raccomanda di non fornire informazioni non pertinenti, che rallenterebbero la procedura di approvazione. </t>
  </si>
  <si>
    <t>Indicare di seguito il nome o i nomi dei file (se allegati in formato elettronico) o il numero o i numeri di riferimento del documento o dei documenti (se forniti in copia cartacea):</t>
  </si>
  <si>
    <t>Nome del file/numero di riferimento</t>
  </si>
  <si>
    <t>Descrizione del documento</t>
  </si>
  <si>
    <t>Spazio libero per tutti i tipi di informazioni aggiuntive</t>
  </si>
  <si>
    <t>Nello spazio che segue è possibile inserire tutte le informazioni che non sono adatte ad essere riportate in altri fogli, ma sono ritenute importanti per l'autorità competente</t>
  </si>
  <si>
    <t>K. 
Sommario</t>
  </si>
  <si>
    <t>Dati dell'impianto</t>
  </si>
  <si>
    <t>Emissioni e flussi di energia</t>
  </si>
  <si>
    <t>Dati del sottoimpianto</t>
  </si>
  <si>
    <t>Quote preliminari</t>
  </si>
  <si>
    <t>Foglio "Summary" – PANORAMICA DEI DATI PIÙ IMPORTANTI</t>
  </si>
  <si>
    <t>Identificativo dell'impianto:</t>
  </si>
  <si>
    <t>Stato membro:</t>
  </si>
  <si>
    <t>Responsabile della verifica (impresa):</t>
  </si>
  <si>
    <t>Rientrante in precedenza nel sistema ETS:</t>
  </si>
  <si>
    <t>Esistente:</t>
  </si>
  <si>
    <t>Data di inizio:</t>
  </si>
  <si>
    <t>Codice NACE nel 2007 (NACE Rev. 1.1):</t>
  </si>
  <si>
    <t>Identificativo EPRTR:</t>
  </si>
  <si>
    <t>Codice NACE nel 2010 (NACE Rev. 2):</t>
  </si>
  <si>
    <t>Nome collegamento</t>
  </si>
  <si>
    <t>Identificativo CITL, se applicabile</t>
  </si>
  <si>
    <t>Tipo entità</t>
  </si>
  <si>
    <t>Ammissibilità all'assegnazione gratuita di quote (sezione A.II.1):</t>
  </si>
  <si>
    <t>Impianto produttore di elettricità:</t>
  </si>
  <si>
    <t>Impianto CCS:</t>
  </si>
  <si>
    <t>Impianto di cui all'articolo 10 bis, paragrafo 3, della direttiva sul sistema ETS:</t>
  </si>
  <si>
    <t>Impianto che produce calore:</t>
  </si>
  <si>
    <t>L'impianto è ammissibile all'assegnazione gratuita di quote di emissioni ai sensi dell'articolo 10 bis della direttiva sull’ETS UE</t>
  </si>
  <si>
    <t>Nota: l'ammissibilità è automaticamente impostata su "vero" soltanto se:</t>
  </si>
  <si>
    <t>l'impianto non produce elettricità né è un impianto CCS; o</t>
  </si>
  <si>
    <t>l'impianto non produce elettricità né è un impianto CCS, E produce calore</t>
  </si>
  <si>
    <t>e</t>
  </si>
  <si>
    <t>il gestore ha confermato che richiede l'assegnazione gratuita di quote di emissioni (sezione A.II.1.f).</t>
  </si>
  <si>
    <t>Il gestore ha confermato che l'autorità competente e la Commissione europea possono utilizzare i dati contenuti in questa comunicazione (sezione A.II.1.g).</t>
  </si>
  <si>
    <t>Soltanto se questa ammissibilità viene visualizzata come "vera", i valori delle quote preliminari vengono visualizzati di seguito nella sezione V.</t>
  </si>
  <si>
    <t>Attivo occasionalmente:</t>
  </si>
  <si>
    <t>I dati risultanti dalle informazioni inserite in "Source streams" (fogli B e C) o dal sommario delle emissioni (sezione D.I)</t>
  </si>
  <si>
    <t>Attribuzione di emissioni a sottoimpianti (sezione D.II)</t>
  </si>
  <si>
    <t>Calcolo dei gas di scarico (gas di scarico non rientranti nei parametri di riferimento di prodotto) - Sezione D.III</t>
  </si>
  <si>
    <t>Emissioni stimate di gas di scarico</t>
  </si>
  <si>
    <t>Efficienza presunta per la produzione di elettricità:</t>
  </si>
  <si>
    <t>Energia in ingresso derivata da combustibili – suddivisa in categorie di utilizzo (sezione E.I)</t>
  </si>
  <si>
    <t>Calcolo del calore misurabile (sezione E.II)</t>
  </si>
  <si>
    <t>Valori inseriti nel foglio "F_ProductBM" provenienti da fonti non rientranti nel sistema ETS:</t>
  </si>
  <si>
    <t>Dati relativi all'elettricità</t>
  </si>
  <si>
    <t>Dati relativi ai sottoimpianti pertinenti ai fini dell'assegnazione di quote</t>
  </si>
  <si>
    <t>Qui vengono visualizzati soltanto i dati pertinenti per il calcolo. Son riportati valori soltanto per gli anni di riferimento scelti. Se è pertinente l'articolo 9, paragrafo 6, non vengono indicati dati relativi all'attività negli anni di riferimento. Se non sono state riportate modifiche considerevoli della capacità, non viene indicato alcun dato al riguardo e così via.</t>
  </si>
  <si>
    <t>Nelle tabelle sottostanti vengono utilizzate le seguenti abbreviazioni:</t>
  </si>
  <si>
    <t>Esposto a CL</t>
  </si>
  <si>
    <t>Esposizione a rilocalizzazione delle emissioni di carbonio. "Vero" se il sottoimpianto è utilizzato in un settore ritenuto esposto a un rischio elevato di rilocalizzazione delle emissioni di carbonio.</t>
  </si>
  <si>
    <t>N. del parametro di riferimento</t>
  </si>
  <si>
    <t>Numero del parametro di riferimento</t>
  </si>
  <si>
    <t>Valore del parametro di riferimento</t>
  </si>
  <si>
    <t>Valore del parametro di riferimento ai sensi dell'allegato I delle CIM</t>
  </si>
  <si>
    <t>L'intercambiabilità di elettricità e calore è pertinente per il sottoimpianto?</t>
  </si>
  <si>
    <t>Livello totale di attività storica (HAL), composto dal valore medio del periodo di riferimento, e applicazione dell'articolo 9, paragrafo 6 e dell'articolo 9, paragrafo 9, delle CIM, a seconda dei casi.</t>
  </si>
  <si>
    <t>Fattore di calcolo per tenere conto dell'intercambiabilità di elettricità e calore ai sensi dell'articolo 14 delle CIM</t>
  </si>
  <si>
    <t>Calore non rientrante nel sistema ETS</t>
  </si>
  <si>
    <t>Quantitativo da detrarre dal numero annuo preliminare di quote di emissioni ai sensi dell'articolo 13 delle CIM</t>
  </si>
  <si>
    <t>Quantitativo da aggiungere al numero annuo preliminare di quote di emissioni per i sottoimpianti di cracking con vapore ai sensi dell'articolo 11 delle CIM</t>
  </si>
  <si>
    <t>Fattore di calcolo per tenere conto delle emissioni legate all'idrogeno nei sottoimpianti di produzione di cloruro di vinile monomero ai sensi dell'articolo 12 delle CIM</t>
  </si>
  <si>
    <t>Fattori specifici:</t>
  </si>
  <si>
    <t>N. di FB</t>
  </si>
  <si>
    <t>Valore del parametro di riferimento o fattore</t>
  </si>
  <si>
    <t xml:space="preserve">Fattore di rilocalizzazione delle emissioni di carbonio </t>
  </si>
  <si>
    <t>Utenze private</t>
  </si>
  <si>
    <t>Numero finale indicativo previsto di quote di emissioni assegnate a titolo gratuito:</t>
  </si>
  <si>
    <t>Fattore lineare</t>
  </si>
  <si>
    <t>I risultati qui visualizzati non sono in alcun modo giuridicamente vincolanti. Vedere la clausola di esonero dalla responsabilità nell'introduzione di questa sezione.</t>
  </si>
  <si>
    <t>Occorre attivare il calcolo automatico (nel menù tools/options).</t>
  </si>
  <si>
    <t>Croazia</t>
  </si>
  <si>
    <t>Il gestore di quest'impianto conferma che l'impianto non può beneficiare dell'assegnazione gratuita di quote ai sensi dell'articolo 10 bis della direttiva sul sistema di scambio di emissioni.</t>
  </si>
  <si>
    <t>Il gestore di questo impianto conferma che è stata trasmessa una richiesta per la modifica del quantitativo di quote a titolo gratuito ai sensi dell'articolo 10 bis della direttiva sul sistema di scambio di emissioni.</t>
  </si>
  <si>
    <t>Modulo di richiesta di modifica dei quantitativi assegnati a titolo gratuito</t>
  </si>
  <si>
    <r>
      <t xml:space="preserve">La direttiva 2003/87/CE, modificata da ultimo dalla direttiva 2009/29/CE (in appresso "la direttiva EU ETS") stabilisce che gli Stati membri assegnino quote a titolo gratuito ai gestori di impianti sulla base di misure di attuazione comunitarie interamente armonizzate (articolo 10 </t>
    </r>
    <r>
      <rPr>
        <i/>
        <sz val="10"/>
        <color indexed="18"/>
        <rFont val="Arial"/>
        <family val="2"/>
      </rPr>
      <t>bis</t>
    </r>
    <r>
      <rPr>
        <sz val="10"/>
        <color indexed="18"/>
        <rFont val="Arial"/>
        <family val="2"/>
      </rPr>
      <t>, paragrafo 1). La direttiva è disponibile all'indirizzo:</t>
    </r>
  </si>
  <si>
    <t>Dette misure di attuazione comunitarie (Community-wide Implementing Measures, CIM) sono state pubblicate nella decisione 2011/278/UE della Commissione e sono disponibili all'indirizzo:</t>
  </si>
  <si>
    <t>http://eur-lex.europa.eu/LexUriServ/LexUriServ.do?uri=CONSLEG:2011D0278:20111117:IT:PDF</t>
  </si>
  <si>
    <t>Le CIM comprendono regole che prevedono l'assegnazione di quote gratuite ai nuovi entranti nonché la modifica dei quantitativi assegnati a titolo gratuito in caso di riduzione sostanziale della capacità, cessazione e parziale cessazione delle attività di un impianto.</t>
  </si>
  <si>
    <r>
      <t xml:space="preserve">L'acronimo "NER" utilizzato in questo modulo si riferisce alla riserva per i nuovi entranti (New Entrants Reserve), istituita a norma dell'articolo 10 </t>
    </r>
    <r>
      <rPr>
        <i/>
        <sz val="10"/>
        <color indexed="18"/>
        <rFont val="Arial"/>
        <family val="2"/>
      </rPr>
      <t>bis</t>
    </r>
    <r>
      <rPr>
        <sz val="10"/>
        <color indexed="18"/>
        <rFont val="Arial"/>
        <family val="2"/>
      </rPr>
      <t>, paragrafo 7, della direttiva EU ETS.</t>
    </r>
  </si>
  <si>
    <t>Gli Stati membri devono presentare alla Commissione le informazioni pertinenti fornite dai gestori degli impianti e necessarie per calcolare il quantitativo preliminare di quote di emissioni assegnate a titolo gratuito. L'articolo 24, paragrafo 2, delle CIM stabilisce che gli Stati membri utilizzino a questo scopo un apposito modulo elettronico fornito dalla Commissione. Il presente modulo è strutturato in modo tale da poter essere utilizzato dall'autorità competente anche per la raccolta dei dati utili presso i gestori.</t>
  </si>
  <si>
    <t>Il presente modulo è stato elaborato per conto della Commissione dal suo consulente Umweltbundesamt GmbH, Austria.
Le opinioni espresse nel presente file rappresentano le opinioni degli autori e non necessariamente quelle della Commissione europea.</t>
  </si>
  <si>
    <t>Questa è la versione finale, approvata dal comitato sui cambiamenti climatici, nella riunione del 7 giugno 2012.</t>
  </si>
  <si>
    <t>È particolarmente importante compilare il foglio "A_InstallationData", sezioni da III a V. La compilazione non corretta di queste sezioni può determinare errori nei risultati dei calcoli o impedire il corretto inserimento dei dati relativi ai sottoimpianti.</t>
  </si>
  <si>
    <t>Documenti di orientamento e moduli pubblicati dalla Commissione riguardo alle regole di assegnazione:</t>
  </si>
  <si>
    <t>Tipo di modifiche</t>
  </si>
  <si>
    <t>Cessazione delle attività</t>
  </si>
  <si>
    <t>Assegnazione iniziale</t>
  </si>
  <si>
    <t>Presente richiesta</t>
  </si>
  <si>
    <t>Capacità installata iniziale</t>
  </si>
  <si>
    <t>Foglio "InstallationData" — INFORMAZIONI GENERALI SULLA PRESENTE RICHIESTA</t>
  </si>
  <si>
    <t>Per "Stato membro" si intende in questo contesto uno Stato che partecipa al sistema EU ETS; rientrano in questa definizione i 27 Stati membri dell'UE, la Croazia, l'Islanda, la Norvegia e il Liechtenstein.</t>
  </si>
  <si>
    <t>Per gli impianti realizzati ex novo (greenfield), i gestori devono rivolgersi all'autorità competente per farsi attribuire tale identificativo.</t>
  </si>
  <si>
    <t>Per gli impianti realizzati ex novo, l'identificativo può non essere ancora disponibile. Per tali impianti, la compilazione di questo campo è facoltativa. I gestori devono rivolgersi all'autorità competente per ricevere l'identificativo.</t>
  </si>
  <si>
    <t>Informazioni sulla presente richiesta</t>
  </si>
  <si>
    <t>Tipi di modifiche:</t>
  </si>
  <si>
    <t>Questo impianto figura nelle misure nazionali di attuazione (NIM)?</t>
  </si>
  <si>
    <t>Rispondere "VERO" se l'impianto figura nell'elenco degli impianti stilato dall'autorità competente a norma dell'articolo 11 della direttiva EU ETS. Se l'impianto è presente nell'elenco, significa che l'autorità competente lo considera un impianto esistente ai sensi della definizione contenuta nell'articolo 3, lettera a), delle CIM, anche se l'assegnazione iniziale a titolo gratuito era pari a zero.</t>
  </si>
  <si>
    <t>L'impianto è un impianto ex novo (greenfield)?</t>
  </si>
  <si>
    <t>Un impianto è considerato un impianto ex novo se il presente modulo di richiesta è utilizzato per presentare per la prima volta la richiesta di assegnazione gratuita, cioè se l'impianto non figura nelle NIM e in precedenza non ha comunicato modifiche sostanziali della capacità.</t>
  </si>
  <si>
    <t>Se l'impianto è un impianto ex novo, la lettera c) successiva non è pertinente.</t>
  </si>
  <si>
    <t>Tipi di modifiche dell'assegnazione cui si riferisce questa richiesta</t>
  </si>
  <si>
    <t>Indicare il tipo o i tipi di modifica dell'assegnazione cui si riferisce questa richiesta.</t>
  </si>
  <si>
    <t>Sono possibili tre tipi di modifica dell'assegnazione:</t>
  </si>
  <si>
    <t>Si noti che se l'impianto nel suo complesso ha cessato le proprie attività, nessuno degli altri due tipi di modifica dell'assegnazione può essere pertinente né può essere trattato nell'ambito della presente richiesta.</t>
  </si>
  <si>
    <t>Si noti che modifiche sostanziali e cessazioni parziali, se entrambe pertinenti, possono essere trattate in un'unica richiesta.</t>
  </si>
  <si>
    <t>L'inserimento di informazioni in questo campo attiva formati condizionali che guidano l'utente nella compilazione del documento.</t>
  </si>
  <si>
    <t>Fogli e sezioni pertinenti nel modulo</t>
  </si>
  <si>
    <t>Le informazioni e i dati inseriti possono rendere non pertinenti altre sezioni; tali sezioni saranno visualizzate con sfondo ombreggiato.</t>
  </si>
  <si>
    <t>Nota importante: nel caso in cui il presente modulo sia utilizzato per comunicare modifiche sostanziali della capacità, le risposte fornite in questa sezione devono riferirsi alla situazione DOPO tale modifica sostanziale della capacità.</t>
  </si>
  <si>
    <t>Si noti che la risposta inserita qui ha un impatto sulla presente richiesta soltanto nel caso in cui si chieda una riduzione sostanziale della capacità.</t>
  </si>
  <si>
    <r>
      <t xml:space="preserve">I dati contenuti in questo file saranno utilizzati dall'autorità competente per determinare l'assegnazione gratuita di quote ai sensi dell'articolo 10 </t>
    </r>
    <r>
      <rPr>
        <b/>
        <sz val="10"/>
        <color indexed="62"/>
        <rFont val="Arial"/>
        <family val="2"/>
      </rPr>
      <t>bis</t>
    </r>
    <r>
      <rPr>
        <b/>
        <i/>
        <sz val="10"/>
        <color indexed="62"/>
        <rFont val="Arial"/>
        <family val="2"/>
      </rPr>
      <t xml:space="preserve"> della direttiva EU ETS o eventuali modifiche dei quantitativi stabiliti in precedenti decisioni di assegnazione. I dati saranno inoltre comunicati, in parte o integralmente, alla Commissione europea a norma dell'articolo 24, paragrafo 2, delle CIM.</t>
    </r>
  </si>
  <si>
    <t>Responsabile della verifica incaricato per i dati forniti in questa richiesta:</t>
  </si>
  <si>
    <t>Se si è indicato che la presente richiesta non riguarda modifiche sostanziali della capacità né un impianto ex novo, ma riguarda unicamente la cessazione delle attività conformemente all'articolo 22 o la cessazione parziale delle attività conformemente all'articolo 23, non è necessario ricorrere a un responsabile della verifica.</t>
  </si>
  <si>
    <t>Nome e indirizzo del responsabile della verifica:</t>
  </si>
  <si>
    <t>Questa sezione del modulo si utilizza per comunicare che un impianto ha cessato (totalmente) le proprie attività.</t>
  </si>
  <si>
    <t xml:space="preserve">Ai sensi dell'articolo 22, paragrafo 1, delle CIM: "Si ritiene che un impianto abbia cessato le proprie attività quando si verifica una delle situazioni seguenti: </t>
  </si>
  <si>
    <t>l'autorizzazione ad emettere gas a effetto serra, l'autorizzazione in vigore a norma della direttiva 2008/1/CE o qualsiasi altra autorizzazione ambientale sono scadute;</t>
  </si>
  <si>
    <t>le autorizzazioni di cui alla lettera a) sono state ritirate;</t>
  </si>
  <si>
    <t>il funzionamento dell'impianto è impossibile per ragioni tecniche;</t>
  </si>
  <si>
    <t>l'impianto non è in funzione ma lo era precedentemente e per ragioni tecniche la ripresa dell'attività è impossibile;</t>
  </si>
  <si>
    <t>l'impianto non è in funzione ma lo era precedentemente e il gestore non può dimostrare che l'impianto riprenderà le sue attività entro i 6 mesi successivi alla cessazione delle attività. Gli Stati membri possono prorogare questo periodo fino ad un massimo di 18 mesi se il gestore può dimostrare che la situazione è dovuta a circostanze eccezionali e imprevedibili che non avrebbero potuto essere evitate neanche con la dovuta diligenza e che sfuggono al controllo del gestore, in particolare circostanze legate a disastri naturali, guerre, minacce di guerra, atti di terrorismo, rivoluzioni, sommosse, atti di sabotaggio o atti di vandalismo.".</t>
  </si>
  <si>
    <t>Questo significa che, in linea di massima, un impianto che per ragioni tecniche o legali non opera più come impianto ETS e non è in grado di riprendere le attività entro 6 mesi si considera un impianto che ha cessato le attività.</t>
  </si>
  <si>
    <t>Sono compresi in questa fattispecie gli impianti che non rientrano più nel campo di applicazione dell'ETS. Ai sensi dell'articolo 22, paragrafo 2, delle CIM, la lettera e) non si applica agli impianti di riserva o di emergenza e agli impianti che funzionano in base ad un calendario stagionale. Tali impianti non sono considerati impianti che hanno cessato le attività.</t>
  </si>
  <si>
    <t>L'impianto ha cessato le attività?</t>
  </si>
  <si>
    <t>Quando ha cessato le attività?</t>
  </si>
  <si>
    <t>Se l'impianto ha cessato le attività, inserire l'anno civile in cui sono cessate le attività.</t>
  </si>
  <si>
    <t>Perché l'impianto ha cessato le attività?</t>
  </si>
  <si>
    <t>Se l'impianto ha cessato le attività, inserire una o più delle ragioni di cui alle lettere da a) a e) dell'elenco precedente.</t>
  </si>
  <si>
    <t>Si noti che la lettera e) non si applica agli impianti di riserva o di emergenze né agli impianti che funzionano in base ad un calendario stagionale.</t>
  </si>
  <si>
    <t>Identificare l'autorizzazione scaduta o ritirata:</t>
  </si>
  <si>
    <t>Questo punto è pertinente soltanto se si sono indicate le ragioni di cui alle lettere a) o b) precedenti.</t>
  </si>
  <si>
    <t>Conferma della cessazione delle attività</t>
  </si>
  <si>
    <t>Ai sensi dell'articolo 22, paragrafo 3, delle CIM, quando un impianto cessa le proprie attività, lo Stato membro interessato non rilascia più quote di emissioni a decorrere dall'anno successivo alla cessazione delle attività. Se l'impianto ricade nel campo di applicazione di questa disposizione, confermarlo qui:</t>
  </si>
  <si>
    <t>Se l'impianto ha cessato le proprie attività, non vi è l'obbligo di comunicare altri dati dettagliati nei fogli seguenti; il gestore è tenuto solamente a compilare la sezione A.VI di questo foglio ("InstallationData").</t>
  </si>
  <si>
    <t>Nell'eventualità di una futura ripresa delle attività, l'impianto sarà considerato un nuovo entrante. Soltanto in casi eccezionali, lo Stato membro potrà interpretare questa lunga interruzione come una "cessazione parziale" anziché ricorrere all'assegnazione prevista per i nuovi entranti.</t>
  </si>
  <si>
    <t>Questa sezione si utilizza per inserire la situazione delle quote assegnate all'impianto, riferita al periodo antecedente alla richiesta presentata per mezzo di questo file. È necessario inserire le seguenti informazioni (se pertinenti):</t>
  </si>
  <si>
    <t>quote assegnate nell'ambito delle NIM, da inserire nella sezione A.III.1 successiva;</t>
  </si>
  <si>
    <t>elenco cronologico di tutte le modifiche dell'assegnazione nel periodo antecedente alla presente richiesta (A.III.2);</t>
  </si>
  <si>
    <t>assegnazioni a nuovi entranti (impianti ex novo e ampliamenti sostanziali della capacità), da inserire nel punto A.III.3 successivo;</t>
  </si>
  <si>
    <t>riduzioni dell'assegnazione dovute a riduzioni sostanziali della capacità, da inserire ugualmente nel punto A.III.3 successivo;</t>
  </si>
  <si>
    <t>modifiche dell'assegnazione gratuita dovute a cessazioni parziali delle attività e riprese dopo cessazioni parziali, da comunicare nel punto A.III.4 successivo.</t>
  </si>
  <si>
    <t>Assegnazione gratuita finale calcolata per gli impianti esistenti</t>
  </si>
  <si>
    <t xml:space="preserve">Elencare, per ogni sottoimpianto, le quote di emissioni assegnate sulla base della rilevazione dei dati di riferimento effettuata nel proprio Stato membro ai fini delle misure nazionali di attuazione (NIM) a norma dell'articolo 11, paragrafo 1, della direttiva EU ETS conformemente all'articolo 7 delle CIM. </t>
  </si>
  <si>
    <t>I quantitativi da inserire devono riflettere il quantitativo totale finale di quote di emissioni assegnate a titolo gratuito a norma dell'articolo 10, paragrafo 9, delle CIM, ossia i valori delle quote dopo opportuna applicazione del fattore lineare o del fattore di correzione transettoriale, a seconda dei casi. I valori devono essere ricavati dal punto K.V.2.c della relazione sulla rilevazione dei dati di riferimento prevista dalle NIM, a condizione che l'autorità competente abbia approvato i dati ivi contenuti e che la Commissione europea abbia pubblicato il fattore di correzione uniforme transettoriale da inserire nel punto K.V.2.b di tale file.</t>
  </si>
  <si>
    <t>Nota: i dati inseriti qui sono pertinenti soltanto per gli impianti esistenti secondo la definizione di cui all'articolo 3, lettera a), delle CIM.</t>
  </si>
  <si>
    <t>Cronologia delle "modifiche" dell'assegnazione successive al 30 giugno 2011</t>
  </si>
  <si>
    <t>Questa sezione è obbligatoria per:</t>
  </si>
  <si>
    <t>gli impianti esistenti che hanno già comunicato, prima della presente richiesta, modifiche sostanziali con avvio del funzionamento a seguito della modifica dopo il 30 giugno 2011,</t>
  </si>
  <si>
    <t>gli impianti che non sono impianti esistenti ma hanno già comunicato, prima della presente richiesta, un avvio del funzionamento normale dopo il 30 giugno 2011,</t>
  </si>
  <si>
    <t>tutti gli impianti che hanno già comunicato, prima della presente richiesta, una cessazione parziale o una ripresa delle attività dopo cessazione parziale.</t>
  </si>
  <si>
    <t>Attenzione: le "modifiche" a cui si riferisce la presente richiesta non devono essere inserite in questa sezione.</t>
  </si>
  <si>
    <t>Se del caso, elencare in ordine cronologico tutti i sottoimpianti a cui si applicano una o più situazioni tra quelle indicate di seguito, per i quali l'autorità competente ha approvato richieste di modifica dell'assegnazione prima della presente richiesta:</t>
  </si>
  <si>
    <t>primo sottoimpianto di un impianto ex novo (si noti che questa assegnazione è possibile solo se l'impianto non è un impianto esistente, e per un unico sottoimpianto);</t>
  </si>
  <si>
    <t>ampliamento sostanziale della capacità;</t>
  </si>
  <si>
    <t>riduzione sostanziale della capacità;</t>
  </si>
  <si>
    <t>cessazione parziale;</t>
  </si>
  <si>
    <t>ripresa dopo cessazione parziale.</t>
  </si>
  <si>
    <t>Nella colonna "Data di avvio", inserire la data di "avvio del funzionamento normale" conformemente alla definizione di cui all'articolo 3, lettera n), per il primo sottoimpianto di un impianto ex novo, oppure la data di "avvio del funzionamento a seguito della modifica" conformemente alla definizione di cui all'articolo 3, lettera o), per modifiche sostanziali della capacità. In caso di cessazione parziale o ripresa successiva, non occorre inserire alcuna data.</t>
  </si>
  <si>
    <t>Tipo di "modifica"</t>
  </si>
  <si>
    <t>Data di avvio</t>
  </si>
  <si>
    <t>messaggio di errore</t>
  </si>
  <si>
    <t>Modifiche dell'assegnazione a titolo gratuito a seguito di modifiche sostanziali della capacità, e per i nuovi entranti (impianti ex novo)</t>
  </si>
  <si>
    <t>Inserire nella tabella seguente le modifiche dell'assegnazione approvate dall'autorità competente per le modifiche della capacità elencate nella sezione A.III.2 precedente. I dati devono essere inseriti solo nei casi seguenti:</t>
  </si>
  <si>
    <t>primo sottoimpianto di un impianto ex novo;</t>
  </si>
  <si>
    <t>I valori da inserire devono riferirsi all'assegnazione finale aggiunta o ridotta e non alla nuova assegnazione totale. Ad esempio, se un sottoimpianto ha ricevuto 10 000 quote a norma delle NIM e altre 2 000 quote a seguito di un ampliamento sostanziale della capacità, nella tabella seguente devono essere inserite queste 2 000 quote. In caso di riduzione sostanziale della capacità, con conseguente riduzione ad esempio di 4 000 quote all'anno, nella tabella si deve riportare "-4 000".</t>
  </si>
  <si>
    <t>Nel caso del primo sottoimpianto di un impianto ex novo o di nuovi sottoimpianti, l'assegnazione finale aggiunta è pari all'assegnazione totale per il sottoimpianto considerato.</t>
  </si>
  <si>
    <t>Per assegnazione finale si intendono i valori delle quote dopo opportuna applicazione del fattore lineare o del fattore di correzione transettoriale.</t>
  </si>
  <si>
    <t>Inserire i valori per tutti gli anni. I valori da inserire sono riportati nel foglio K_Summary, punto K.V.2.a, delle richieste precedenti (salvo approvazione dell'autorità competente).</t>
  </si>
  <si>
    <t>Fattori di adeguamento applicati per cessazioni parziali e riprese dopo cessazione parziale</t>
  </si>
  <si>
    <t>Questa sezione è obbligatoria per tutti gli impianti che hanno già comunicato, prima della presente richiesta, una cessazione parziale delle attività o una ripresa dopo cessazione parziale.</t>
  </si>
  <si>
    <t>Per tutte le cessazioni parziali e le riprese dopo cessazione parziale elencate nel punto A.III.2 precedente, inserire nella tabella qui sotto il fattore di adeguamento pertinente da applicare per ciascun anno.</t>
  </si>
  <si>
    <t>Nota: nel caso in cui vi siano più modifiche riguardanti lo stesso sottoimpianto, tutti i valori devono essere inseriti nella stessa riga della tabella.</t>
  </si>
  <si>
    <t>I valori da inserire sono riportati nel foglio K_Summary, punto K.V.2.b, delle richieste precedenti (salvo approvazione dell'autorità competente).</t>
  </si>
  <si>
    <t>Descrizione della presente richiesta</t>
  </si>
  <si>
    <t>Elenco di sottoimpianti interessati dalla presente richiesta</t>
  </si>
  <si>
    <t>In questa sezione occorre indicare quali sottoimpianti dell'impianto sono interessati dalla presente richiesta. È possibile anche indicare nuovi sottoimpianti. In caso di eliminazione di sottoimpianti, selezionare "riduzione sostanziale della capacità".</t>
  </si>
  <si>
    <t>Nell'ultima colonna, indicare il tipo di "modifica" a cui si riferisce la presente richiesta. Se non vi sono modifiche riferibili a un sottoimpianto, selezionare "nessuna".</t>
  </si>
  <si>
    <t>Se l'impianto è un impianto ex novo, indicare nell'ultima colonna quale sottoimpianto è il primo sottoimpianto in cui si avvia il funzionamento normale. Se più sottoimpianti si avviano lo stesso giorno, sceglierne uno solo.</t>
  </si>
  <si>
    <t>Se si comunicano modifiche sostanziali della capacità, occorre indicare la capacità modificata nelle sezioni pertinenti dei fogli C, F e G, a seconda dei casi. Se si comunicano cessazioni parziali o riprese dopo cessazione parziale, occorre compilare soltanto le sezioni pertinenti del foglio B.</t>
  </si>
  <si>
    <t>Ai fini della definizione dei sottoimpianti, si applicano i principi seguenti:</t>
  </si>
  <si>
    <t xml:space="preserve">Clausola di esclusione della responsabilità: la posizione relativa alla rilocalizzazione delle emissioni di carbonio si basa sulla decisione 2010/2/UE modificata dalla decisione 2011/745/UE. In futuro la decisione potrebbe essere ulteriormente riveduta </t>
  </si>
  <si>
    <t>Si noti che in questa sezione è essenziale riportare dati corretti, che serviranno come base per tutti i successivi inserimenti riguardanti i sottoimpianti.</t>
  </si>
  <si>
    <t>Sono interessati nuovi sottoimpianti?</t>
  </si>
  <si>
    <t>Indicare qui se altri sottoimpianti, diversi da quelli già indicati nella sezione A.III, sono interessati da questa richiesta.</t>
  </si>
  <si>
    <t>Nel caso degli impianti ex novo, tutti i sottoimpianti sono nuovi sottoimpianti.</t>
  </si>
  <si>
    <t>Per gli impianti esistenti, i nuovi sottoimpianti hanno origine da una modifica fisica. Quando si seleziona un nuovo sottoimpianto, significa che un sottoimpianto dell'impianto che prima della presente richiesta non era interessato adesso lo è.</t>
  </si>
  <si>
    <t>Sottoimpianti dell'impianto interessati al momento di questa richiesta</t>
  </si>
  <si>
    <t xml:space="preserve">Nella prima colonna verde sono inseriti automaticamente i sottoimpianti indicati nella sezione A.III. I nuovi sottoimpianti devono essere selezionati nella colonna "Nuovo sottoimpianto". </t>
  </si>
  <si>
    <t>Le posizioni da 1 a 10 sono riservate a sottoimpianti oggetto di un parametro di riferimento di prodotto. Le posizioni da 11 a 16 si riferiscono a sottoimpianti con approcci alternativi.</t>
  </si>
  <si>
    <t>I nuovi sottoimpianti devono avere come tipo di modifica "ampliamento sostanziale della capacità" o "primo sottoimpianto di un impianto ex novo", a seconda dei casi.</t>
  </si>
  <si>
    <t>Per gli impianti ex novo, selezionare il "primo sottoimpianto" in cui si è avviato il funzionamento normale. Se più sottoimpianti si sono avviati alla stessa data, sceglierne solo uno e trattare gli altri come ampliamenti sostanziali della capacità.</t>
  </si>
  <si>
    <t>Si noti che se si chiedono riduzioni sostanziali della capacità, si deve indicare lo status di produttore di elettricità a norma del precedente punto II.1.a.</t>
  </si>
  <si>
    <t>Per la definizione dei diversi tipi di modifiche e i relativi criteri di applicabilità, si rimanda al documento di orientamento n. 7 pubblicato dalla Commissione.</t>
  </si>
  <si>
    <t>Nuovo sottoimpianto</t>
  </si>
  <si>
    <t>Sottoimpianti esistenti</t>
  </si>
  <si>
    <t>tipo di modifica</t>
  </si>
  <si>
    <t>Determinazione della capacità installata iniziale</t>
  </si>
  <si>
    <t>Per ogni sottoimpianto, inserire qui la capacità installata iniziale, se del caso, nell'unità visualizzata automaticamente.</t>
  </si>
  <si>
    <t>La capacità installata iniziale serve per calcolare il livello di attività applicabile del sottoimpianto nuovo o modificato, che a sua volta è necessario per calcolare l'assegnazione a titolo gratuito al medesimo sottoimpianto.</t>
  </si>
  <si>
    <t>La capacità installata iniziale è la più recente capacità installata approvata dall'autorità competente prima della modifica sostanziale della capacità a cui si riferisce questa richiesta. Sono possibili le seguenti opzioni:</t>
  </si>
  <si>
    <t>La capacità è stata comunicata per le NIM; successivamente l'autorità competente non ha approvato modifiche sostanziali della capacità. Si può scegliere tra le seguenti opzioni:</t>
  </si>
  <si>
    <t>NIM 2005-2008: la capacità installata è stata comunicata con il metodo standard, ossia come la media dei due livelli di attività mensili più elevati negli anni dal 2005 al 2008.</t>
  </si>
  <si>
    <t>NIM verifica sperimentale: la capacità installata è stata determinata mediante "verifica sperimentale".</t>
  </si>
  <si>
    <t>NIM articolo 9, paragrafo 6: l'impianto ha funzionato per meno di 2 anni nel periodo di riferimento. La capacità installata è stata determinata in conformità all'articolo 9, paragrafo 6, delle CIM.</t>
  </si>
  <si>
    <t>NIM articolo 9, paragrafo 9: l'impianto è stato oggetto di modifiche sostanziali della capacità nel periodo compreso fra il 1° gennaio 2005 e il 30 giugno 2011. La capacità installata da comunicare è l'ultima capacità installata utilizzata per calcolare l'assegnazione in conformità all'articolo 9, paragrafo 9, delle CIM.</t>
  </si>
  <si>
    <t>La capacità è stata approvata dall'autorità competente in seguito a una richiesta precedente, ma in data successiva alla data di approvazione nelle NIM. Si può scegliere la seguente opzione:</t>
  </si>
  <si>
    <t>Ultima modifica articolo 17, paragrafo 4.</t>
  </si>
  <si>
    <t>Il sottoimpianto è nuovo. Ai fini della correttezza del calcolo, la capacità installata iniziale deve essere sempre impostata a zero. Selezionare l'opzione seguente:</t>
  </si>
  <si>
    <t>Nel caso in cui siano stati dichiarati nuovi sottoimpianti nella sezione IV. precedente, la capacità iniziale per tali sottoimpianti deve essere impostata a zero e il nuovo sottoimpianto sarà trattato come un ampliamento sostanziale della capacità. Per l'avvio del funzionamento normale del primo sottoimpianto, la capacità installata iniziale sarà ricavata dai dati inseriti nei fogli F o G.</t>
  </si>
  <si>
    <t>L'inserimento di dati nella tabella seguente è facoltativo per i sottoimpianti oggetto di parametri di riferimento di prodotto ma è obbligatorio per i sottoimpianti alternativi se sussistono le seguenti condizioni:</t>
  </si>
  <si>
    <t>la capacità installata iniziale non è stata fornita per la richiesta nell'ambito delle NIM,</t>
  </si>
  <si>
    <t>la capacità installata iniziale non è stata fornita per alcuna richiesta precedente dopo il 30 giugno 2011,</t>
  </si>
  <si>
    <t>il sottoimpianto alternativo non è un sottoimpianto nuovo, ossia faceva parte dell'impianto già prima della presente richiesta.</t>
  </si>
  <si>
    <t>Se non si sono inseriti dati alla lettera a) precedente o se i dati inseriti non rispecchiano la capacità più recente, cioè se la capacità non si basa sul periodo 2005-2008, i dati da inserire obbligatoriamente sono indicati dallo sfondo giallo delle caselle. Per ulteriori indicazioni, si rimanda alla descrizione precedente.</t>
  </si>
  <si>
    <t>Il modo in cui è stata determinata la capacità installata iniziale deve essere riportato nella colonna "fonte capacità" utilizzando i metodi elencati in precedenza.</t>
  </si>
  <si>
    <t>capacità</t>
  </si>
  <si>
    <t>utilizzata</t>
  </si>
  <si>
    <t>fonte capacità</t>
  </si>
  <si>
    <t>L'identificativo dell'impianto è obbligatorio se l'impianto collegato è incluso nel sistema EU ETS.</t>
  </si>
  <si>
    <t>B. Cessazione parziale</t>
  </si>
  <si>
    <t>Foglio "PartialCessation" — Fattori di adeguamento per la cessazione parziale</t>
  </si>
  <si>
    <t>Questo foglio si utilizza per l'inserimento di dati relativi a sottoimpianti che hanno cessato parzialmente le attività o che hanno ripreso le attività dopo cessazioni parziali.</t>
  </si>
  <si>
    <t>Se queste situazioni non sono pertinenti per questa richiesta, passare direttamente al foglio successivo.</t>
  </si>
  <si>
    <t>Determinazione dei fattori di adeguamento</t>
  </si>
  <si>
    <t>Sottoimpianto:</t>
  </si>
  <si>
    <t>A norma dell'articolo 23, paragrafo 1, delle CIM, si considera che un impianto abbia cessato parzialmente le sue attività quando uno dei suoi sottoimpianti, che contribuisce almeno per il 30% o con l'assegnazione di oltre 50 000 quote di emissioni al quantitativo annuo finale di quote di emissioni assegnate a titolo gratuito all'impianto, riduce il suo livello di attività in un determinato anno civile di almeno il 50% rispetto al livello di attività utilizzato per calcolare le quote da assegnare al sottoimpianto a norma dell'articolo 9 o, se del caso, dell'articolo 18 (in appresso "livello di attività iniziale").</t>
  </si>
  <si>
    <t>Se non vi sono cessazioni parziali pertinenti, si può passare al foglio successivo.</t>
  </si>
  <si>
    <t>Se sono pertinenti solo cessazioni parziali, cioè se non si sono verificate modifiche sostanziali della capacità, è sufficiente compilare questo foglio e poi passare al riepilogo (Summary).</t>
  </si>
  <si>
    <t>Anno civile in cui il sottoimpianto ha parzialmente cessato le attività o ha ripreso le attività dopo una cessazione parziale:</t>
  </si>
  <si>
    <t>Si ha una cessazione parziale se in un determinato anno civile il sottoimpianto considerato ha ridotto il suo livello annuale di attività di almeno il 50%, 75% o 90% rispetto al livello di attività [iniziale]. Dopo una cessazione parziale, si ha una ripresa per il sottoimpianto se queste soglie non vengono più superate.</t>
  </si>
  <si>
    <t xml:space="preserve">In questo campo si deve inserire l'anno civile in cui le soglie pertinenti sono state superate / non sono più state superate, vale a dire l'anno prima di quello in cui deve avvenire l'adeguamento dell'assegnazione di quote a titolo gratuito </t>
  </si>
  <si>
    <t>Verifica della sussistenza dei criteri che rendono il sottoimpianto pertinente:</t>
  </si>
  <si>
    <t>La situazione è riconducibile alla fattispecie della cessazione parziale soltanto se nell'anno indicato alla lettera a) precedente il sottoimpianto interessato ha contribuito per almeno il 30% OPPURE con l'assegnazione di oltre 50 000 quote di emissioni al quantitativo annuo finale di quote di emissioni assegnate a titolo gratuito all'impianto.</t>
  </si>
  <si>
    <t>Poiché il contributo di un sottoimpianto all'assegnazione di quote a un impianto può cambiare nel corso degli anni, è necessario inserire il dato richiesto alla lettera a) per verificare se uno dei due criteri è soddisfatto.</t>
  </si>
  <si>
    <t>Verifica: criterio del 30% / 50 000 quote</t>
  </si>
  <si>
    <t>Quantitativo totale finale di quote di emissioni assegnate all'impianto</t>
  </si>
  <si>
    <t>Cronologie delle modifiche del livello di attività</t>
  </si>
  <si>
    <t>Per livello iniziale di attività si deve intendere il livello di attività utilizzato per calcolare le quote da assegnare al sottoimpianto conformemente all'articolo 9 delle CIM o, se del caso, all'articolo 18 delle CIM. Si tratta del livello di attività storico utilizzato per determinare le quote da assegnare nelle NIM oppure, se del caso, del livello di attività utilizzato per calcolare le quote da assegnare per i nuovi impianti (nuovi entranti). Se del caso, e se non lo si è già fatto, per determinare il livello di attività iniziale si devono correggere questi livelli di attività in modo da tenere conto di eventuali modifiche sostanziali della capacità occorse prima della cessazione parziale delle attività.</t>
  </si>
  <si>
    <t>Per livello di attività di un impianto esistente si deve intendere il livello di attività del sottoimpianto considerato, comprese le eventuali modifiche sostanziali in conformità all'articolo 9, paragrafo 9, delle CIM. Nel caso di impianti diversi da nuovi impianti, questo livello di attività deve essere impostato a zero.</t>
  </si>
  <si>
    <t>Per tutte le modifiche sostanziali successive al 30 giugno 2011, inserire in questo campo il livello di attività aggiunto o ridotto. È importante riportare esclusivamente i livelli di attività aggiunti o ridotti e non i totali: ad esempio, se un sottoimpianto aveva un livello di attività iniziale pari a 100, determinato nell'assegnazione nell'ambito delle NIM, e dopo una riduzione sostanziale il nuovo livello è 80: il valore da inserire in questo campo è "-20".</t>
  </si>
  <si>
    <t>Il nuovo livello di attività risultante è considerato il livello di attività iniziale per le cessazioni parziali.</t>
  </si>
  <si>
    <t>livello di attività annuale</t>
  </si>
  <si>
    <t>Livello di attività iniziale per le NIM</t>
  </si>
  <si>
    <t xml:space="preserve">Livello di attività annuale iniziale </t>
  </si>
  <si>
    <t>Il valore in questo campo è la somma di tutti i livelli di attività annui modificati inseriti alla lettera c) precedente.</t>
  </si>
  <si>
    <t>Presente livello di attività annuale</t>
  </si>
  <si>
    <t>Inserire il livello di attività annuale nell'anno civile indicato alla lettera a) precedente.</t>
  </si>
  <si>
    <t>Verifica: riduzione</t>
  </si>
  <si>
    <t>Fattore di adeguamento da applicare:</t>
  </si>
  <si>
    <t>Questo valore è calcolato automaticamente sulla base dei dati inseriti più in alto.</t>
  </si>
  <si>
    <t>A norma dell'articolo 23, paragrafo 2, il quantitativo iniziale di quote per il sottoimpianto sarà moltiplicato per tale fattore a decorrere dall'anno successivo a quello indicato alla lettera a).</t>
  </si>
  <si>
    <t>Se il livello di attività è ridotto tra il 50% e il 75% rispetto al livello di attività iniziale, il fattore di adeguamento è 0,50.</t>
  </si>
  <si>
    <t>Se il livello di attività è ridotto tra il 75% e il 90% rispetto al livello di attività iniziale, il fattore di adeguamento è 0,25.</t>
  </si>
  <si>
    <t>Se il livello di attività è ridotto del 90% o più rispetto al livello di attività iniziale, il fattore di adeguamento è 0,00.</t>
  </si>
  <si>
    <t>C. Data di avvio</t>
  </si>
  <si>
    <t>Foglio "StartingDate" — Avvio del funzionamento normale o a seguito della modifica</t>
  </si>
  <si>
    <t>Questo foglio si utilizza per inserire i dati relativi all'avvio del funzionamento normale di nuovi impianti ("impianti ex novo") o all'avvio del funzionamento in seguito a modifica dei sottoimpianti dopo modifiche sostanziali della capacità.</t>
  </si>
  <si>
    <t>Se la presente richiesta non si riferisce a tali situazioni, i fogli seguenti non sono pertinenti e si può passare subito al riepilogo (foglio "K_Summary").</t>
  </si>
  <si>
    <t>Determinazione dell'avvio del funzionamento normale o a seguito della modifica</t>
  </si>
  <si>
    <t>A norma dell'articolo 3, lettera n), delle CIM, per "avvio del funzionamento normale" si intende il primo giorno verificato ed approvato di un periodo continuativo di 90 giorni o, qualora il ciclo di produzione abituale del settore in questione non preveda una produzione continua, il primo giorno di un periodo di 90 giorni diviso in cicli di produzione specifici del settore, nel corso del quale l'impianto funziona almeno al 40% della capacità di progetto ai fini della quale i dispositivi installati sono dimensionati, tenendo conto, qualora opportuno, delle condizioni operative specifiche dell'impianto.</t>
  </si>
  <si>
    <t>A norma dell'articolo 3, lettera o), delle CIM, per "avvio del funzionamento a seguito della modifica" si intende il primo giorno verificato ed approvato di un periodo continuativo di 90 giorni o, qualora il ciclo di produzione abituale del settore in questione non preveda una produzione continua, il primo giorno di un periodo di 90 giorni diviso in cicli di produzione specifici del settore, nel corso dei quali il sottoimpianto modificato funziona almeno al 40% della capacità di progetto ai fini della quale i dispositivi installati sono dimensionati, tenendo conto, qualora opportuno, delle condizioni operative specifiche del sottoimpianto.</t>
  </si>
  <si>
    <t>In entrambi i casi, questa data è di interesse cruciale ai fini dell'assegnazione di quote, in quanto:</t>
  </si>
  <si>
    <t>solo dopo l'avvio del funzionamento normale o a seguito della modifica un impianto può beneficiare di un'assegnazione di quote o di una modifica dell'assegnazione a norma degli articoli 17, 20 o 21 delle CIM;</t>
  </si>
  <si>
    <t>la richiesta deve essere presentata entro un anno dall'avvio del funzionamento normale o a seguito della modifica;</t>
  </si>
  <si>
    <t>il quantitativo di quote assegnate a titolo gratuito dipende dalla data di avvio del funzionamento normale o a seguito della modifica.</t>
  </si>
  <si>
    <t>Capacità di progetto</t>
  </si>
  <si>
    <t>La capacità di progetto deve essere stabilita sulla base della documentazione di progetto e dei valori garantiti messi a disposizione dal fornitore. La documentazione pertinente può essere costituita da relazioni (le relazioni che accompagnano il progetto), schede tecniche, valori massimi garantiti delle prestazioni.</t>
  </si>
  <si>
    <t>Per gli ampliamenti sostanziali della capacità, la capacità di progetto è la capacità di progetto aggiunta.</t>
  </si>
  <si>
    <t>Per le riduzioni sostanziali della capacità, la capacità di progetto è la capacità di progetto restante.</t>
  </si>
  <si>
    <t>Inserire una sintetica descrizione del modo in cui è stata determinata la capacità di progetto.</t>
  </si>
  <si>
    <t>Funzionamento per un periodo continuativo di 90 giorni?</t>
  </si>
  <si>
    <t>Se si inserisce "VERO", significa che il livello dell'attività di questo sottoimpianto è stato ogni giorno superiore a zero in un periodo continuativo di 90 giorni. Per "periodo continuativo di 90 giorni" si intende un periodo di 90 giorni consecutivi in cui il sottoimpianto funziona ogni giorno.</t>
  </si>
  <si>
    <t>Nel caso in cui il ciclo di produzione abituale del settore non preveda periodi continuativi di 90 giorni, si sommano i cicli di produzione specifici del settore in modo da ottenere un periodo di 90 giorni. Inserire una sintetica descrizione di tali cicli di produzione abituali (ad esempio "il sottoimpianto normalmente funziona solo 5 giorni alla settimana").</t>
  </si>
  <si>
    <t>Inserire la data di avvio tecnico dell'impianto, se si tratta di un impianto ex novo, o del sottoimpianto dopo la modifica fisica.</t>
  </si>
  <si>
    <t>Si noti che in molti casi questa data può essere diversa dalla data di avvio del funzionamento normale o a seguito della modifica.</t>
  </si>
  <si>
    <t>Questo punto è pertinente solo in caso di ampliamenti sostanziali della capacità.</t>
  </si>
  <si>
    <t>Il metodo da utilizzare per l'inserimento dei dati nella tabella riportata più avanti alla lettera e) può essere scelto dall'utente. Le opzioni disponibili sono: "Attività totale" o "Relativo alla capacità aggiunta".</t>
  </si>
  <si>
    <t>Ove possibile, il livello di attività si basa sulla capacità aggiunta fisicamente; ad esempio, quando l'ampliamento della capacità consiste in una nuova linea produttiva, il livello di attività relativo alla capacità aggiunta è la produzione della nuova linea produttiva.</t>
  </si>
  <si>
    <t>In questo caso, si deve scegliere "Relativo alla capacità aggiunta"</t>
  </si>
  <si>
    <t>Alcuni ampliamenti della capacità sono costituiti da modifiche delle attrezzature e dei dispositivi esistenti e per il gestore può essere difficile fornire i dati richiesti sul livello di attività relativo alla sola capacità di progetto aggiunta. In questi casi, il livello di attività attribuito alla capacità aggiunta è stabilito in base al livello di attività totale del sottoimpianto pertinente (ALtotale) meno il livello di attività medio negli anni civili (non anteriori al 2005) precedenti alla modifica fisica nella tabella riportata più avanti alla lettera e).</t>
  </si>
  <si>
    <t>In questo caso, scegliere "Attività totale"</t>
  </si>
  <si>
    <t>I dati inseriti in questa tabella sono necessari per stabilire l'avvio del funzionamento normale o a seguito della modifica e per determinare se è stata superata la soglia del 40%.</t>
  </si>
  <si>
    <t>Nella prima colonna, inserire tutte le date che contribuiscono a formare il periodo di 90 giorni.</t>
  </si>
  <si>
    <t>Se si è inserito "FALSO" alla lettera b) precedente, inserire i dati solamente per i giorni con livello di attività superiore a zero.</t>
  </si>
  <si>
    <t>Per "livello di attività pertinente" si intende:</t>
  </si>
  <si>
    <t>il livello di attività del primo sottoimpianto nel caso di un impianto ex novo;</t>
  </si>
  <si>
    <t>il livello di attività relativo alla capacità aggiunta nel caso di ampliamenti sostanziali della capacità;</t>
  </si>
  <si>
    <t>il livello di attività restante nel caso di riduzioni sostanziali della capacità.</t>
  </si>
  <si>
    <t>L'avvio del funzionamento normale o a seguito della modifica viene calcolato automaticamente e visualizzato alla lettera f) successiva.</t>
  </si>
  <si>
    <t>Il livello di attività giornaliero non deve necessariamente essere superiore al 40% in ogni giorno del periodo di 90 giorni.</t>
  </si>
  <si>
    <t>Note per gli ampliamenti sostanziali:</t>
  </si>
  <si>
    <t>Se alla lettera d) precedente si è inserito "Attività totale", inserire il livello medio giornaliero di attività negli anni civili (non anteriori al 2005) precedenti alla modifica fisica e il livello di attività totale del sottoimpianto alla data pertinente.</t>
  </si>
  <si>
    <t>Se alla lettera d) precedente si è inserito "Relativo alla capacità aggiunta", è sufficiente inserire il livello di attività giornaliero pertinente.</t>
  </si>
  <si>
    <t>Giorno</t>
  </si>
  <si>
    <t xml:space="preserve">Livello di attività medio </t>
  </si>
  <si>
    <t xml:space="preserve">Livello di attività totale </t>
  </si>
  <si>
    <t>livello di attività pertinente</t>
  </si>
  <si>
    <t>livello di attività utilizzato</t>
  </si>
  <si>
    <t>Risultato: avvio del funzionamento normale o a seguito della modifica</t>
  </si>
  <si>
    <t xml:space="preserve">Il livello di attività viene calcolato sommando i livelli di attività giornalieri nel periodo di 90 giorni inserito alla lettera f) precedente. Per valutare se è stata raggiunta la soglia del 40%, tale numero viene diviso per la capacità di progetto del sottoimpianto, inserita alla lettera a) precedente, moltiplicata per (90 diviso 365). </t>
  </si>
  <si>
    <t>Questa data viene visualizzata soltanto se nel periodo di 90 giorni i livelli di attività cumulativi inseriti alla lettera c) precedente raggiungono almeno il 40% della capacità di progetto inserita alla lettera a) precedente.</t>
  </si>
  <si>
    <t>Verifica: regola del 40%</t>
  </si>
  <si>
    <t>Inserire le emissioni totali mensili e l'energia totale in ingresso derivata da combustibili a partire dal mese di avvio del funzionamento normale o a seguito della modifica, a seconda dei casi. Per stabilire quali mesi debbano essere presi in considerazione, si rimanda al documento di orientamento n. 7, punto 3.2.2, 4.3 o 5.2 a seconda dei casi.</t>
  </si>
  <si>
    <r>
      <t>Se l'impianto è un impianto ex novo, saranno assegnate ulteriori quote sulla base delle emissioni storiche espresse in tonnellate di CO</t>
    </r>
    <r>
      <rPr>
        <i/>
        <vertAlign val="subscript"/>
        <sz val="8"/>
        <color indexed="62"/>
        <rFont val="Arial"/>
        <family val="2"/>
      </rPr>
      <t>2</t>
    </r>
    <r>
      <rPr>
        <i/>
        <sz val="8"/>
        <color indexed="62"/>
        <rFont val="Arial"/>
        <family val="2"/>
      </rPr>
      <t xml:space="preserve"> equivalente in conformità all'articolo 19, paragrafo 2; pertanto, è necessario inserire le emissioni verificate indipendentemente prodotte prima dell'avvio del funzionamento normale (dati relativi all'intera fase, non dati mensili). </t>
    </r>
  </si>
  <si>
    <t>prima dell'avvio</t>
  </si>
  <si>
    <t>Se alla lettera a) precedente si è scelto "percentuali", i dati da inserire in questo punto devono essere espressi come percentuale dei dati che compaiono nella sezione I precedente.</t>
  </si>
  <si>
    <t>In questo contesto, la classificazione "sottoimpianto con emissioni di processo" si deve utilizzare rigorosamente ai sensi dell'articolo 3, lettera h), delle CIM. La definizione di "emissioni di processo" riportata nel regolamento di cui all'articolo 14 della direttiva EU ETS non è pertinente in questo contesto.</t>
  </si>
  <si>
    <t>Per "Altre emissioni (non ammissibili)" si intendono le emissioni legate alla combustione in torcia diversa da quella effettuata per ragioni di sicurezza e ad altre emissioni che non comportano assegnazioni.</t>
  </si>
  <si>
    <t>Per gli impianti di cogenerazione, per la ripartizione delle emissioni risultanti tra emissioni legate alla produzione di elettricità ed emissioni legate alla produzione di calore, utilizzare la formula a pagina 26 del documento di orientamento n. 6.</t>
  </si>
  <si>
    <t>Emissioni legate alla produzione di elettricità</t>
  </si>
  <si>
    <t>Se l'impianto è un impianto ex novo, attribuire ai sottoimpianti pertinenti le emissioni verificate indipendentemente nel periodo antecedente all'avvio del funzionamento normale.</t>
  </si>
  <si>
    <t>Si noti che soltanto le emissioni attribuite ai sottoimpianti pertinenti sono ammissibili all'assegnazione di quote a titolo gratuito.</t>
  </si>
  <si>
    <t>Il quantitativo ammissibile è dato dalla differenza tra la somma delle voci da xv. a xx. e le emissioni legate alla produzione di elettricità (xv.)</t>
  </si>
  <si>
    <t>Se l'impianto è un impianto ex novo, attribuire alle categorie pertinenti i combustibili utilizzati nella fase antecedente all'avvio del funzionamento normale (dati relativi all'intera fase, non dati mensili).</t>
  </si>
  <si>
    <t>Bilancio del calore misurabile a livello dell'impianto</t>
  </si>
  <si>
    <t>Quantitativo netto totale di elettricità prodotta nell'impianto prima dell'avvio del funzionamento normale</t>
  </si>
  <si>
    <t>Determinazione del nuovo livello di attività</t>
  </si>
  <si>
    <t>Descrizione delle modifiche fisiche</t>
  </si>
  <si>
    <t>Inserire una breve descrizione delle modifiche fisiche</t>
  </si>
  <si>
    <t>Livelli di attività</t>
  </si>
  <si>
    <t>Tuttavia, se alla lettera c) compare un messaggio, deve essere utilizzato lo strumento di calcolo opportuno; i risultati ottenuti utilizzando tale strumento vengono copiati automaticamente nella tabella al punto iii).</t>
  </si>
  <si>
    <t>In caso di modifiche sostanziali, per gli ulteriori calcoli si utilizzano i due mesi con i valori più elevati nell'arco dei sei mesi successivi all'avvio del funzionamento a seguito della modifica.</t>
  </si>
  <si>
    <t>Nel caso in cui questo sia il primo sottoimpianto di un impianto ex novo in cui si è avviato il funzionamento normale, per gli ulteriori calcoli si utilizzano i due mesi con i valori più elevati nell'arco dei tre mesi successivi all'avvio del funzionamento normale.</t>
  </si>
  <si>
    <t>Per questo sottoimpianto la data pertinente è:</t>
  </si>
  <si>
    <t>Esempio: si ipotizzi che la data di avvio del funzionamento normale di un impianto ex novo sia il 15 marzo. La capacità iniziale si ricava in questo caso in base ai:</t>
  </si>
  <si>
    <t>due livelli di attività più elevati registrati in altrettanti periodi di 30 giorni nei 90 giorni successivi al 15 marzo compreso. In questo caso, i livelli di attività per i tre periodi di 30 giorni nell'arco dei 90 giorni devono essere inseriti qui sotto per i mesi 1, 2 e 3; oppure</t>
  </si>
  <si>
    <t>due livelli di attività mensili più elevati nei mesi di aprile e maggio.</t>
  </si>
  <si>
    <t>Se si tratta del primo sottoimpianto di un impianto ex novo, la capacità iniziale si ricava in base a:</t>
  </si>
  <si>
    <t>Esempio: si ipotizzi che la data di avvio del funzionamento a seguito di una modifica sostanziale della capacità sia il 15 marzo. La nuova capacità si basa in questo caso sui due livelli di attività mensili più elevati nel periodo tra aprile e settembre.</t>
  </si>
  <si>
    <t>Per ragioni di coerenza, ai fini della determinazione dei dati relativi alla capacità iniziale (nel caso degli impianti ex novo) o alla nuova capacità (nel caso di modifiche sostanziali), si tiene conto anche dei giorni di non funzionamento.</t>
  </si>
  <si>
    <t>Inserire solamente i due livelli di attività mensili totali più elevati.</t>
  </si>
  <si>
    <t>Per le modifiche sostanziali, il valore calcolato in questo campo è ricavato dai dati inseriti nel foglio A, sezione V, che quindi deve essere obbligatoriamente compilata.</t>
  </si>
  <si>
    <t>Se questo sottoimpianto è il primo sottoimpianto di un impianto ex novo in cui si avvia il funzionamento normale, il valore calcolato in questo campo è la media dei due livelli di attività mensili più elevati di cui sopra moltiplicata per 12.</t>
  </si>
  <si>
    <t>A norma dell'articolo 17, paragrafo 4, delle CIM, la capacità installata iniziale deve essere determinata "… conformemente alla metodologia di cui all'articolo 7, paragrafo 3 ...". In questo punto si fa riferimento alla metodologia per la determinazione della capacità, non all'intero paragrafo (compreso il periodo 2005-2008). Pertanto, la capacità è determinata sulla base dei due volumi di produzione mensili più elevati nel periodo pertinente e non sulla base della verifica sperimentale, tranne nei casi di forza maggiore (perdita di tutti i dati).</t>
  </si>
  <si>
    <t>Nuova capacità installata</t>
  </si>
  <si>
    <t>Il valore calcolato in questo campo è la media dei due livelli di attività mensili più elevati indicati alla lettera b), punto iii).</t>
  </si>
  <si>
    <t>Se questo sottoimpianto è il primo sottoimpianto di un impianto ex novo in cui si avvia il funzionamento normale, questo valore non è pertinente ed è lasciato in bianco.</t>
  </si>
  <si>
    <t>Capacità nuova, aggiunta o ridotta</t>
  </si>
  <si>
    <t>Il valore calcolato in questo campo rappresenta:</t>
  </si>
  <si>
    <t>la capacità installata iniziale nel caso in cui questo sottoimpianto sia il primo sottoimpianto di un impianto ex novo in cui si avvia il funzionamento normale;</t>
  </si>
  <si>
    <t>la capacità nuova nel caso di sottoimpianti nuovi, che sono trattati come ampliamenti sostanziali della capacità con una capacità installata iniziale pari a zero. In questo caso, la capacità nuova è pari al valore riportato alla lettera e);</t>
  </si>
  <si>
    <t>la capacità aggiunta nel caso di ampliamenti sostanziali della capacità;</t>
  </si>
  <si>
    <t>la capacità ridotta nel caso di riduzioni sostanziali della capacità. La capacità ridotta non è la capacità "restante".</t>
  </si>
  <si>
    <t>Per gli ampliamenti sostanziali della capacità, si controlla se la capacità è aumentata almeno del 10%. Per le riduzioni, si controlla se la capacità è diminuita almeno del 10%.</t>
  </si>
  <si>
    <t>Inoltre, si controlla nella sezione K.IV del foglio "K_Summary" se l'assegnazione preliminare modificata al sottoimpianto considerato supera le 50 000 quote, che rappresentano almeno il 5% del quantitativo di quote calcolato prima della modifica fisica.</t>
  </si>
  <si>
    <t>Il quoziente della capacità e la capacità di progetto sono calcolati per le verifiche di plausibilità. Nel caso degli ampliamenti, questa capacità è la capacità aggiunta; nel caso delle riduzioni, è la capacità restante.</t>
  </si>
  <si>
    <t>C nuova / C iniziale</t>
  </si>
  <si>
    <t>C / C di progetto</t>
  </si>
  <si>
    <t>Questo campo è obbligatorio soltanto se il criterio del 10% di cui alla lettera e) precedente non è soddisfatto.</t>
  </si>
  <si>
    <t>Inserire il numero annuo preliminare aggiornato di quote di emissioni assegnate a titolo gratuito per questo sottoimpianto prima della modifica.</t>
  </si>
  <si>
    <t>Coefficiente di utilizzo della capacità standard (SCUF)</t>
  </si>
  <si>
    <t xml:space="preserve">Il coefficiente di utilizzo della capacità standard (standard capacity utilisation factor, SCUF) è adimensionale e viene visualizzato automaticamente. </t>
  </si>
  <si>
    <t>Livello di attività della capacità nuova, aggiunta o ridotta a norma dell'articolo 18, paragrafo 1, delle CIM</t>
  </si>
  <si>
    <t>Il valore calcolato in questo campo è (SCUF di cui alla lettera j) x (capacità nuova, aggiunta o ridotta calcolata alla lettera h) precedente). Tale valore può essere calcolato soltanto se alla lettera h) non sono visualizzati messaggi di errore.</t>
  </si>
  <si>
    <t xml:space="preserve">In ogni caso, i dati "pertinenti" inseriti qui devono: </t>
  </si>
  <si>
    <t>riferirsi alla capacità installata iniziale, nel caso di un impianto ex novo;</t>
  </si>
  <si>
    <t>riferirsi alla capacità aggiunta o ridotta, a seconda dei casi, nel caso di ampliamenti o riduzioni sostanziali della capacità. Se i dati non possono essere attribuiti chiaramente a tale capacità aggiunta o ridotta, ad esempio se la modifica fisica è una modifica di dispositivi o attrezzature esistenti, inserire qui i dati relativi al livello di attività mensile totale.</t>
  </si>
  <si>
    <t>In ogni caso, il metodo applicato deve essere coerente, per tutti e tre i valori (i., ii. e iii.), con la capacità a cui tali valori si riferiscono.</t>
  </si>
  <si>
    <t>Per ulteriori indicazioni a questo riguardo, consultare il documento di orientamento n. 7a sul calcolo dei fattori di correzione.</t>
  </si>
  <si>
    <t>È necessario inserire dati per tutti i mesi pertinenti ai fini della determinazione della capacità, vale a dire il periodo di 90 giorni nel caso del primo sottoimpianto di un impianto ex novo, e sei mesi nel caso di modifiche sostanziali della capacità.</t>
  </si>
  <si>
    <t>Emissioni dirette pertinenti</t>
  </si>
  <si>
    <t>Calore netto importato pertinente</t>
  </si>
  <si>
    <t>Inserire una breve descrizione delle modalità di determinazione dei dati "pertinenti" ai fini del calcolo del fattore di correzione.</t>
  </si>
  <si>
    <t>I dati devono essere coerenti con il calore netto totale misurabile importato inserito al punto j.ii) precedente (intercambiabilità elettricità), se del caso.</t>
  </si>
  <si>
    <t>I dati "pertinenti" inseriti qui devono:</t>
  </si>
  <si>
    <t>Si noti che in questo caso i valori devono essere coerenti con i subtotali di cui al punto E.II.c) nel foglio "E_Energy flows".</t>
  </si>
  <si>
    <t>Nel caso di ampliamenti o riduzioni sostanziali della capacità, i dati devono riferirsi alla capacità aggiunta o ridotta, a seconda dei casi.</t>
  </si>
  <si>
    <t>Si noti che questo calore "pertinente" può avere in qualche caso valore negativo.</t>
  </si>
  <si>
    <t>Calore misurabile pertinente da fonti non rientranti nel sistema ETS:</t>
  </si>
  <si>
    <t>Controllo di coerenza con la lettera j):</t>
  </si>
  <si>
    <t>Quantitativo di pasta per carta immesso sul mercato:</t>
  </si>
  <si>
    <t>Se del caso, comparirà qui un messaggio generato automaticamente in cui si richiede l'inserimento dei dati necessari per tenere conto del quantitativo di pasta immesso sul mercato.</t>
  </si>
  <si>
    <t>In conformità alla seconda frase dell'articolo 10, paragrafo 7, solamente la pasta per carta (pasta kraft a fibre corte, pasta kraft a fibre lunghe, pasta termomeccanica e pasta meccanica, pasta al bisolfito) che è immessa sul mercato e non trasformata in carta nello stesso impianto o in impianti connessi sotto il profilo tecnico a tale impianto deve essere presa in considerazione ai fini dell'assegnazione di quote a titolo gratuito.</t>
  </si>
  <si>
    <t>Inserire qui il quantitativo pertinente di pasta immesso sul mercato e il quantitativo pertinente di pasta prodotto.</t>
  </si>
  <si>
    <t>Si noti che in questo caso i valori devono essere coerenti con i dati della produzione totale riportati al punto b.i). precedente.</t>
  </si>
  <si>
    <t>In ogni caso il metodo applicato deve essere coerente, per entrambi i valori (i. e ii.), con la capacità a cui tali valori si riferiscono.</t>
  </si>
  <si>
    <t>Quantitativo pertinente di pasta immesso sul mercato</t>
  </si>
  <si>
    <t>Quantitativo pertinente di pasta prodotto</t>
  </si>
  <si>
    <t>Rapporto (i. / ii.)</t>
  </si>
  <si>
    <t>Controllo di coerenza con il punto b), b.i. / ii.):</t>
  </si>
  <si>
    <t>Fattore di correzione per pasta e carta</t>
  </si>
  <si>
    <t xml:space="preserve">I codici PRODCOM / NACE devono essere inseriti con almeno 4 cifre e preferibilmente con una disaggregazione più elevata (ossia più cifre), nella forma "nnnn" o "nnnnnnnn", ossia senza punti o altri delimitatori tra i numeri. È obbligatorio utilizzare gli elenchi PRODCOM 2007 (utilizzato per determinare l'elenco di cui alla decisione 2010/2/UE sulla rilocalizzazione delle emissioni di carbonio e quindi pertinente per l'allegato I delle CIM) e PRODCOM 2010. </t>
  </si>
  <si>
    <t>Gli Stati membri possono richiedere la comunicazione obbligatoria dei livelli di produzione per i singoli prodotti identificati alla precedente lettera m). Se il proprio Stato lo ha fatto, le celle di seguito riportate relative al periodo di riferimento scelto saranno evidenziate in giallo brillante (v. significato dei colori nel foglio "b_Guidelines &amp; conditions").</t>
  </si>
  <si>
    <t>I dati seguenti sono ricavati automaticamente dal foglio "D_Emissions", sezione D.II.b o dal foglio "E_EnergyFlows", sezione E.I.1.c o sezione E.II.g, in cui è quindi obbligatorio inserire i dati richiesti.</t>
  </si>
  <si>
    <t>In caso di modifiche sostanziali, i due mesi con i valori più elevati ii.) nell'arco dei sei mesi successivi all'avvio del funzionamento a seguito della modifica i.) sono utilizzati per ulteriori calcoli.</t>
  </si>
  <si>
    <t>Esempio: si ipotizzi che la data di avvio del funzionamento normale sia il 15 marzo. La capacità iniziale in questo caso si ricava in base ai:
— due livelli di attività più elevati registrati in altrettanti periodi di 30 giorni nei 90 giorni successivi al 15 marzo compreso; oppure
— due livelli di attività mensili più elevati nei mesi di aprile e maggio.</t>
  </si>
  <si>
    <t>Esempio: si ipotizzi che la data di avvio del funzionamento a seguito della modifica sia il 15 marzo. La nuova capacità si basa in questo caso sui due livelli di attività mensili più elevati nel periodo tra aprile e settembre.</t>
  </si>
  <si>
    <t>Dal momento che i dati seguenti sono calcolati in base ai dati inseriti in fogli precedenti, assicurarsi che i dati inseriti siano corretti. Se questo è il primo sottoimpianto di un impianto ex novo, i dati inseriti nelle sezioni precedenti devono essere coerenti con il periodo scelto più in alto, ossia tre periodi di 30 giorni o due mesi civili.</t>
  </si>
  <si>
    <t>A norma dell'articolo 17, paragrafo 4, delle CIM, la capacità installata iniziale deve essere determinata "...conformemente alla metodologia di cui all'articolo 7, paragrafo 3 ...". In questo punto si fa riferimento alla metodologia per la determinazione della capacità, non all'intero paragrafo (compreso il periodo 2005-2008). Pertanto, la capacità è determinata sulla base dei due volumi di produzione mensili più elevati nel periodo pertinente e non sulla base della verifica sperimentale, tranne nei casi di forza maggiore (perdita di tutti i dati).</t>
  </si>
  <si>
    <t>Il valore calcolato in questo campo è la media dei due livelli di attività mensili più elevati conformemente alla lettera b).</t>
  </si>
  <si>
    <t>Se questo sottoimpianto è il primo sottoimpianto di un impianto ex novo in cui si avvia il funzionamento normale, questo valore non è pertinente e sarà lasciato in bianco.</t>
  </si>
  <si>
    <t>Inserire qui il numero preliminare annuo di quote di emissioni assegnate a titolo gratuito per questo sottoimpianto prima della modifica.</t>
  </si>
  <si>
    <t>I coefficienti di utilizzo della capacità pertinenti (relevant capacity utilisation factors, RCUF) sono determinati dall'autorità competente per ogni sottoimpianto per i quali sono pertinenti. Per consentire all'autorità competente di determinare i coefficienti RCUF, il gestore deve presentare le seguenti informazioni:</t>
  </si>
  <si>
    <t>Utilizzo tipico della capacità nel settore pertinente interessato.</t>
  </si>
  <si>
    <t>RCUF proposto dal gestore, espresso come percentuale della capacità iniziale.</t>
  </si>
  <si>
    <t>Informazioni sul funzionamento normale previsto dell'impianto, sulla manutenzione, sul ciclo di produzione abituale.</t>
  </si>
  <si>
    <t>Inserire le informazioni richieste o il riferimento del file che contiene le informazioni richieste.</t>
  </si>
  <si>
    <t>Il valore calcolato qui è (RCUF inserito alla lettera g)) x (capacità nuova, aggiunta o ridotta calcolata alla lettera e) precedente). Tale valore può essere calcolato soltanto se alle lettere e) e g) non sono visualizzati messaggi di errore.</t>
  </si>
  <si>
    <t>Se il calore viene esportato, possono essere selezionati l'impianto o l'entità collegati indicati nel foglio "A_InstallationData", sezione VI.</t>
  </si>
  <si>
    <t>Il risultato del calcolo di questo strumento viene copiato automaticamente nel foglio "F_ProductBM", riga di inserimento "b.ii" del sottoimpianto pertinente.</t>
  </si>
  <si>
    <t>Questo messaggio viene generato automaticamente se sono pertinenti modifiche sostanziali di questo sottoimpianto o se l'impianto è un impianto ex novo.</t>
  </si>
  <si>
    <t>Base (kt)</t>
  </si>
  <si>
    <t>Il risultato del calcolo di questo strumento è utilizzato nel foglio "F_ProductBM", riga di inserimento "b.ii" del sottoimpianto pertinente, in base a cui viene calcolato il valore medio.</t>
  </si>
  <si>
    <t>Dal momento che i dati seguenti sono calcolati in base ai dati inseriti in precedenza, assicurarsi che i dati inseriti siano corretti. Se questo è il primo sottoimpianto di un impianto ex novo, i dati inseriti in precedenza devono essere coerenti con il periodo scelto più in alto, ossia tre periodi di 30 giorni o due mesi civili.</t>
  </si>
  <si>
    <t>Si noti che in questo caso i valori inseriti qui devono essere gli stessi indicati al punto IV.1.c precedente.</t>
  </si>
  <si>
    <t>Si noti che questa carica "pertinente" può avere in qualche caso valore negativo.</t>
  </si>
  <si>
    <t>Idrogeno pertinente</t>
  </si>
  <si>
    <t>Etilene pertinente</t>
  </si>
  <si>
    <t>Altra HVC pertinente</t>
  </si>
  <si>
    <t>In ogni caso, il metodo applicato deve essere coerente, per tutti e tre i valori, con la capacità a cui tali valori si riferiscono.</t>
  </si>
  <si>
    <t>Calore netto misurabile importato pertinente</t>
  </si>
  <si>
    <r>
      <t>Calore pertinente da combustione di H</t>
    </r>
    <r>
      <rPr>
        <vertAlign val="subscript"/>
        <sz val="10"/>
        <rFont val="Arial"/>
        <family val="2"/>
      </rPr>
      <t>2</t>
    </r>
  </si>
  <si>
    <t>Ammissibilità e cessazione</t>
  </si>
  <si>
    <t>Assegnazione</t>
  </si>
  <si>
    <t>Impianto ex novo:</t>
  </si>
  <si>
    <t>Tipo di richieste (sezione A.II.1):</t>
  </si>
  <si>
    <t>Collegamenti tecnici (sezione A.VI):</t>
  </si>
  <si>
    <t>Attività cessate:</t>
  </si>
  <si>
    <t>Anno di cessazione:</t>
  </si>
  <si>
    <t>Motivo della cessazione:</t>
  </si>
  <si>
    <t>Autorizzazione scaduta o ritirata:</t>
  </si>
  <si>
    <t>Assegnazione a emissioni prima dell'avvio del funzionamento normale</t>
  </si>
  <si>
    <t>Impianto ex novo?</t>
  </si>
  <si>
    <t>Primo sottoimpianto</t>
  </si>
  <si>
    <t>emissioni totali</t>
  </si>
  <si>
    <t>emissioni legate alla produzione di elettricità</t>
  </si>
  <si>
    <t>risultato: emissioni ammissibili (= i. - ii.)</t>
  </si>
  <si>
    <t>Primo sottoimpianto?</t>
  </si>
  <si>
    <t>Questo sottoimpianto è il primo di un impianto ex novo in cui si avvia il funzionamento normale?</t>
  </si>
  <si>
    <t>Avvio del funzionamento normale o a seguito della modifica, a seconda dei casi</t>
  </si>
  <si>
    <t>Giorni rimanenti</t>
  </si>
  <si>
    <t>Giorni rimanenti nell'anno civile in cui l'impianto ha avviato il funzionamento normale o un sottoimpianto ha avviato il funzionamento a seguito della modifica</t>
  </si>
  <si>
    <t>SCUF/RCUF art.18, paragrafo 2</t>
  </si>
  <si>
    <t>Coefficiente di utilizzo della capacità standard o pertinente utilizzato per l'applicazione dell'articolo 18, paragrafo 2, delle CIM</t>
  </si>
  <si>
    <t>C iniziale</t>
  </si>
  <si>
    <t>Capacità installata iniziale prima delle modifiche sostanziali comunicate per la presente richiesta</t>
  </si>
  <si>
    <t>C nuova</t>
  </si>
  <si>
    <t>Nuova capacità installata dopo le modifiche sostanziali comunicate per la presente richiesta</t>
  </si>
  <si>
    <t>C pertinente</t>
  </si>
  <si>
    <t>Capacità pertinente per ulteriori calcoli. Per gli impianti ex novo corrisponde alla capacità installata iniziale. Per le modifiche sostanziali è la differenza tra la capacità installata nuova e iniziale.</t>
  </si>
  <si>
    <t>Fattore di calcolo per tenere conto del quantitativo di pasta immesso sul mercato in conformità all'articolo 10, paragrafo 7</t>
  </si>
  <si>
    <t>Livello di attività (activy level, AL) nuovo/aggiunto/ridotto</t>
  </si>
  <si>
    <t>Livello di attività (AL) pertinente per il calcolo dell'assegnazione preliminare. Nel caso di modifiche sostanziali, è il livello di attività relativo alla capacità aggiunta o ridotta.</t>
  </si>
  <si>
    <t>Assegn. nuova/agg./rid.</t>
  </si>
  <si>
    <t>Numero annuo preliminare di quote di emissioni assegnate a titolo gratuito ai sensi dell'articolo 19 delle CIM, ossia prima dell'applicazione del fattore di esposizione a rilocalizzazione delle emissioni di carbonio, del fattore lineare o del fattore di correzione transettoriale.</t>
  </si>
  <si>
    <t>Anno cessazione parziale</t>
  </si>
  <si>
    <t>Anno civile in cui è avvenuta la cessazione parziale o la ripresa dopo cessazione parziale</t>
  </si>
  <si>
    <t>ALini</t>
  </si>
  <si>
    <t>Livello di attività iniziale</t>
  </si>
  <si>
    <t>ALnew (nuovo livello di attività)</t>
  </si>
  <si>
    <t>Nuovo livello di attività = livello di attività nell'anno in cui è avvenuta la cessazione parziale o la ripresa dopo cessazione parziale</t>
  </si>
  <si>
    <t>Fattore di adeguamento</t>
  </si>
  <si>
    <t>Fattore di adeguamento da applicare ai sensi dell'articolo 23, paragrafo 2, a decorrere dall'anno civile successivo all'anno in cui è avvenuta la cessazione parziale o la ripresa dopo cessazione parziale</t>
  </si>
  <si>
    <t>A. Modifiche sostanziali</t>
  </si>
  <si>
    <t>Capacità comunicata</t>
  </si>
  <si>
    <t>Valori usati per il calcolo</t>
  </si>
  <si>
    <t>SCUF articolo18, paragrafo 2</t>
  </si>
  <si>
    <t>RCUF articolo 18, paragrafo 2</t>
  </si>
  <si>
    <t>Calcolo del quantitativo annuo di quote assegnate titolo gratuito</t>
  </si>
  <si>
    <t>Questa sezione presenta un riepilogo dei valori delle quote di emissioni relative all'impianto per il periodo dal 2013 al 2020, calcolati sulla base dei dati inseriti nelle sezioni precedenti. Le informazioni visualizzate non sono state sottoposte a controlli di completezza; pertanto, i dati possono essere considerati corretti soltanto se sono soddisfatte le seguenti condizioni:</t>
  </si>
  <si>
    <t>Il foglio "A_InstallationData" è stato interamente compilato, in particolare le sezioni da A.II ad A.V.</t>
  </si>
  <si>
    <t>Non sono visualizzati messaggi di errore nelle sezioni pertinenti.</t>
  </si>
  <si>
    <t>Clausola di esclusione della responsabilità: a norma dell'articolo 19, paragrafo 1, delle CIM, il numero preliminare annuo di quote di emissioni assegnate a titolo gratuito è calcolato dagli Stati membri; pertanto, i risultati visualizzati nel capitolo precedente e in questa sezione hanno valore puramente indicativo. Nessuna garanzia esplicita o implicita è fornita circa la precisione, la completezza o l'attendibilità del risultato. Dal risultato visualizzato in questo modulo non derivano diritti a un determinato numero di quote di emissioni. Per la correttezza dei calcoli, vedere anche la clausola di esclusione della responsabilità nel foglio "Guidelines &amp; conditions".</t>
  </si>
  <si>
    <t>Quantitativo annuo finale più recente di quote di emissioni assegnate a titolo gratuito prima della presente richiesta</t>
  </si>
  <si>
    <t>I quantitativi riportati rispecchiano il quantitativo totale finale di quote assegnate a titolo gratuito prima della presente richiesta sulla base dei dati inseriti dall'utente nella sezione A.III.</t>
  </si>
  <si>
    <t>Assegnazione finale più recente senza fattori di adeguamento</t>
  </si>
  <si>
    <t>Questi valori corrispondono all'assegnazione effettuata a norma dell'articolo 10, paragrafo 9, o dell'articolo 19, paragrafo 5, delle CIM, a seconda dei casi. Le cessazioni parziali (articolo 23) non sono prese in considerazione in questo punto.</t>
  </si>
  <si>
    <t>Assegnazione finale più recente previa applicazione dei fattori di adeguamento risultanti da cessazioni parziali</t>
  </si>
  <si>
    <t>Questi valori corrispondono a quelli riportati alla lettera a) precedente, ma sono calcolati previa applicazione degli opportuni fattori di adeguamento per cessazioni parziali a norma dell'articolo 23.</t>
  </si>
  <si>
    <t>Quantitativo annuo finale aggiunto di quote assegnate a titolo gratuito:</t>
  </si>
  <si>
    <t>Assegnazione nuova/aggiunta/ridotta</t>
  </si>
  <si>
    <t>Se l'impianto è un impianto ex novo o se un impianto esistente chiede una modifica dell'assegnazione a seguito di modifiche sostanziali, l'assegnazione finale aggiunta o ridotta è calcolata in questo punto.</t>
  </si>
  <si>
    <r>
      <t xml:space="preserve">I fattori di calcolo utilizzati sono il fattore di rilocalizzazione delle emissioni di carbonio, il fattore lineare di cui all'articolo 10 </t>
    </r>
    <r>
      <rPr>
        <sz val="8"/>
        <color indexed="62"/>
        <rFont val="Arial"/>
        <family val="2"/>
      </rPr>
      <t>bis</t>
    </r>
    <r>
      <rPr>
        <i/>
        <sz val="8"/>
        <color indexed="62"/>
        <rFont val="Arial"/>
        <family val="2"/>
      </rPr>
      <t>, paragrafo 4, della direttiva EU ETS, e il fattore di correzione transettoriale (cross-sectoral correction factor, CSCF) ai sensi dell'articolo 15, paragrafo 3, delle CIM.</t>
    </r>
  </si>
  <si>
    <t>Si noti che il CSCF è pertinente soltanto per riduzioni sostanziali della capacità di impianti esistenti non classificati come produttori di elettricità.</t>
  </si>
  <si>
    <t>Somma</t>
  </si>
  <si>
    <t>Cessazioni parziali</t>
  </si>
  <si>
    <t>I valori riportati in questa tabella rispecchiano i fattori di adeguamento da applicare dalla presente richiesta in avanti, a seguito di una cessazione parziale o di una ripresa dopo cessazione parziale.</t>
  </si>
  <si>
    <t>Ai fini degli ulteriori calcoli, i campi vuoti saranno interpretati come "1".</t>
  </si>
  <si>
    <t>I quantitativi visualizzati qui rispecchiano il calcolo del quantitativo totale finale di quote assegnate a titolo gratuito ai sensi dell'articolo 19, paragrafo 5, e dell'articolo 21, paragrafo 2, delle CIM, dopo l'applicazione dei fattori di adeguamento a norma dell'articolo 23 delle CIM.</t>
  </si>
  <si>
    <t>&lt;&lt;&lt; FINE DEL MODULO &gt;&gt;&gt;</t>
  </si>
  <si>
    <t>Nome</t>
  </si>
  <si>
    <t>Costante</t>
  </si>
  <si>
    <t>Altre costanti</t>
  </si>
  <si>
    <t>Attività totale</t>
  </si>
  <si>
    <t>Relativo alla capacità aggiunta</t>
  </si>
  <si>
    <t>Assegnazione totale finale a titolo gratuito</t>
  </si>
  <si>
    <t>Ampliamenti (articolo 20 delle CIM) e/o riduzioni (articolo 21 delle CIM) sostanziali della capacità</t>
  </si>
  <si>
    <t>Cessazione delle attività dell'impianto nel suo complesso (articolo 22 delle CIM)</t>
  </si>
  <si>
    <t>Cessazioni parziali delle attività e/o recupero da cessazioni parziali (articolo 23 delle CIM)</t>
  </si>
  <si>
    <t>L'impianto è un impianto ex novo e chiede l'assegnazione di quote come nuovo entrante ai sensi dell'articolo 17 delle CIM.</t>
  </si>
  <si>
    <t>primo sottoimpianto di un impianto ex novo</t>
  </si>
  <si>
    <t>ampliamento sostanziale della capacità</t>
  </si>
  <si>
    <t>riduzione sostanziale della capacità</t>
  </si>
  <si>
    <t>cessazione parziale delle attività</t>
  </si>
  <si>
    <t>ripresa dopo cessazione parziale</t>
  </si>
  <si>
    <t>nessuna</t>
  </si>
  <si>
    <t>Fase prima dell'avvio</t>
  </si>
  <si>
    <t>Avvio del funzionamento normale (articolo 3, lettera n), delle CIM)</t>
  </si>
  <si>
    <t>Avvio del funzionamento a seguito della modifica (articolo 3, lettera o), delle CIM)</t>
  </si>
  <si>
    <t>I due livelli di attività più elevati registrati in periodi di 30 giorni</t>
  </si>
  <si>
    <t>I due livelli di attività più elevati registrati in mesi civili</t>
  </si>
  <si>
    <t>Il gestore di questo impianto conferma che l'impianto ha cessato le proprie attività.</t>
  </si>
  <si>
    <t>Criterio soddisfatto</t>
  </si>
  <si>
    <t>Non è stato inserito il coefficiente RCUF</t>
  </si>
  <si>
    <t>0 &lt;= HCUF &lt;=1!</t>
  </si>
  <si>
    <t>0 &lt;= RCUF &lt;=1!</t>
  </si>
  <si>
    <t>0 &lt;= rapporto &lt;=1!</t>
  </si>
  <si>
    <t>Modifica più recente</t>
  </si>
  <si>
    <t>NIM 2005-2008</t>
  </si>
  <si>
    <t>NIM verifica sperimentale</t>
  </si>
  <si>
    <t>NIM articolo 9, paragrafo 6</t>
  </si>
  <si>
    <t>NIM articolo 9, paragrafo 9</t>
  </si>
  <si>
    <t>a) L'autorizzazione ad emettere gas a effetto serra, l'autorizzazione in vigore a norma della direttiva 2008/1/CE o qualsiasi altra autorizzazione ambientale pertinente sono scadute</t>
  </si>
  <si>
    <t>b) Una delle autorizzazioni di cui alla lettera a) è stata ritirata</t>
  </si>
  <si>
    <t>c) Il funzionamento dell'impianto è impossibile per ragioni tecniche</t>
  </si>
  <si>
    <t>d) L'impianto non è in funzione, ma lo era precedentemente e per ragioni tecniche la ripresa delle attività è impossibile.</t>
  </si>
  <si>
    <t>e) L'impianto non è in funzione, ma lo era precedentemente e il gestore non può dimostrare che l'impianto riprenderà le sue attività entro i 6 mesi successivi alla cessazione delle attività.</t>
  </si>
  <si>
    <t>Nessuna cessazione parziale pertinente per l'anno indicato</t>
  </si>
  <si>
    <t>ampliamento della capacità &lt; 10%</t>
  </si>
  <si>
    <t>riduzione della capacità &lt; 10%</t>
  </si>
  <si>
    <t>Soglia del 40% non raggiunta</t>
  </si>
  <si>
    <t>Solo 1 primo sottoimpianto!</t>
  </si>
  <si>
    <t>Scegliere almeno un nuovo sottoimpianto !</t>
  </si>
  <si>
    <t>Scegliere il tipo di modifiche per la presente richiesta!</t>
  </si>
  <si>
    <t>È obbligatorio rispondere alle domande b) e d)!</t>
  </si>
  <si>
    <t>È obbligatorio rispondere alla domanda e) al punto A.II.2!</t>
  </si>
  <si>
    <t>È obbligatorio rispondere alla domanda f) al punto A.II.2!</t>
  </si>
  <si>
    <t>Nessuna modifica sostanziale della capacità ai sensi dell'articolo 3, lettere i) e j), delle CIM!</t>
  </si>
  <si>
    <t>La voce e) non è applicabile nel caso degli impianti di riserva o di emergenza e degli impianti che funzionano in base a un calendario stagionale.</t>
  </si>
  <si>
    <t>Attività non specificata (A.I.3.a)!</t>
  </si>
  <si>
    <r>
      <t xml:space="preserve">Il gestore di quest'impianto conferma che l'impianto non può beneficiare dell'assegnazione gratuita di quote ai sensi dell'articolo 10 </t>
    </r>
    <r>
      <rPr>
        <i/>
        <sz val="10"/>
        <rFont val="Arial"/>
        <family val="2"/>
      </rPr>
      <t>bis</t>
    </r>
    <r>
      <rPr>
        <sz val="10"/>
        <rFont val="Arial"/>
        <family val="2"/>
      </rPr>
      <t xml:space="preserve"> della direttiva sul sistema di scambio di emissioni.</t>
    </r>
  </si>
  <si>
    <r>
      <t xml:space="preserve">Il gestore di questo impianto conferma che è stata trasmessa una richiesta per la modifica del quantitativo di quote a titolo gratuito ai sensi dell'articolo 10 </t>
    </r>
    <r>
      <rPr>
        <i/>
        <sz val="10"/>
        <rFont val="Arial"/>
        <family val="2"/>
      </rPr>
      <t>bis</t>
    </r>
    <r>
      <rPr>
        <sz val="10"/>
        <rFont val="Arial"/>
        <family val="2"/>
      </rPr>
      <t xml:space="preserve"> della direttiva sul sistema di scambio di emissioni.</t>
    </r>
  </si>
  <si>
    <t>Impianto PRIMA della fusione, della scissione o del trasferimento</t>
  </si>
  <si>
    <t>Impianto DOPO la fusione, la scissione o il trasferimento (per il quale viene presentata la presente domanda)</t>
  </si>
  <si>
    <t>Impianto DOPO la fusione, la scissione o il trasferimento</t>
  </si>
  <si>
    <t>Trasferimento dall’impianto</t>
  </si>
  <si>
    <t>È obbligatorio rispondere alla domanda a) al punto A.I!</t>
  </si>
  <si>
    <t>L’operatore ha confermato che questa domanda riguarda esclusivamente modifiche dei limiti dell'impianto e  di autorizzazioni esistenti e ha inoltre confermato che non si sono verificati cambiamenti fisici.</t>
  </si>
  <si>
    <t>Impianto iniziale 1</t>
  </si>
  <si>
    <t>Impianto iniziale 2</t>
  </si>
  <si>
    <t>Impianto 1</t>
  </si>
  <si>
    <t>Impianto 2</t>
  </si>
  <si>
    <t>Impianti interessati</t>
  </si>
  <si>
    <t>Conferma dell’ammissibilità</t>
  </si>
  <si>
    <t>Identificazione di tutti gli impianti interessati</t>
  </si>
  <si>
    <t>Le misure di esecuzione (CIM) non contengono disposizioni esplicite in materia di fusione e scissione degli impianti. Pertanto, come regola generale, eventuali modifiche all’assegnazione gratuita delle quote a seguito di una fusione o una scissione di impianti dovrebbero essere attuate conformemente alle regole applicabili ai nuovi entranti e alle chiusure, previste dalle CIM.</t>
  </si>
  <si>
    <t>Nell'ambito delle regole di assegnazione armonizzate e quando le condizioni di una modifica sostanziale della capacità sono soddisfatte:</t>
  </si>
  <si>
    <t>Una fusione di due impianti avviene quando un impianto ha cessato le sue attività e un altro aumenta la sua capacità di produzione.</t>
  </si>
  <si>
    <t>Una scissione di un impianto in due (o più) parti dovrebbe concretizzarsi con la significativa riduzione di capacità dell'impianto originale ed uno (o più) nuovi entranti ("impianti ex novo detti "greenfield").</t>
  </si>
  <si>
    <t>Gli operatori devono comunicare tali modifiche seguendo la normale procedura di notifica dei nuovi entranti e delle chiusure e secondo le regole stabilite dalle CIM.</t>
  </si>
  <si>
    <r>
      <t>In considerazione di quanto precede, anche se le operazioni di fusione e di scissione sono procedure amministrative industriali relativamente comuni risultanti da cambiamenti di proprietà, nel contesto dell’assegnazione gratuita di quote nell’ambito del sistema ETS dell’UE devono essere trattate nel rispetto delle regole armonizzate di assegnazione, vale a dire, attraverso nuovi entranti (</t>
    </r>
    <r>
      <rPr>
        <i/>
        <sz val="10"/>
        <color indexed="18"/>
        <rFont val="Arial"/>
        <family val="2"/>
      </rPr>
      <t>greenfield</t>
    </r>
    <r>
      <rPr>
        <sz val="10"/>
        <color indexed="18"/>
        <rFont val="Arial"/>
        <family val="2"/>
      </rPr>
      <t>), modifiche sostanziali di capacità e cessazioni.</t>
    </r>
  </si>
  <si>
    <t>Tuttavia, alcune altre modifiche dell'assegnazione a seguito di una fusione o di una scissione possono conformarsi alle regole di assegnazione armonizzate, purché siano soddisfatte determinate condizioni:</t>
  </si>
  <si>
    <t>Gli impianti devono rientrare nell’ambito del sistema ETS e disporre di un’autorizzazione ad emettere gas serra prima e dopo la fusione o la scissione</t>
  </si>
  <si>
    <t>Una fusione o una scissione non comportano l’assegnazione di un numero maggiore di quote rispetto alle assegnazioni riportate nella tabella nazionale di assegnazione (NAT) prima della fusione o della scissione</t>
  </si>
  <si>
    <t>Nel caso di una fusione di impianti, conformemente all’articolo 3, lettera e), della direttiva 2003/87/CE, la fusione riguarda impianti che hanno un collegamento tecnico, svolgono le loro attività nello stesso sito e sono oggetto della medesima autorizzazione dopo la fusione</t>
  </si>
  <si>
    <t>Gli impianti interessati dalla fusione o dalla scissione beneficiano di un’autorizzazione ad emettere gas a effetto serra che tiene conto del loro nuovo status</t>
  </si>
  <si>
    <t>Si raccomanda di percorrere il modulo dall'inizio alla fine. Alcune funzioni che guidano il lettore nella compilazione del modulo sono strettamente collegate a informazioni inserite precedentemente, come per esempio le celle che cambiano colore se non è necessario inserire determinate informazioni (cfr. i codici dei colori riportati di seguito).</t>
  </si>
  <si>
    <t>Domanda di fusione, scissione o trasferimento di parti di impianti?</t>
  </si>
  <si>
    <t>Si prega di confermare che la modifica descritta nella presente domanda è dovuta unicamente a una fusione, una scissione o un trasferimento di parti di impianti. Così facendo si conferma anche che non sono avvenuti cambiamenti fisici e che la presente domanda descrive esclusivamente modifiche concernenti i limiti dell’impianto e le autorizzazioni esistenti.</t>
  </si>
  <si>
    <t>Data ufficiale della fusione, della scissione o del trasferimento di parti dell’impianto</t>
  </si>
  <si>
    <t>Descrizione della fusione, della scissione o del trasferimento</t>
  </si>
  <si>
    <t>Si prega di inserire qui una breve descrizione del contesto normativo in base al quale si ritiene che l’identificazione degli impianti deve cambiare a partire da ora.</t>
  </si>
  <si>
    <t>La descrizione deve illustrare come gli impianti interessati siano tecnicamente connessi: unità fisiche e connessioni, nonché calore misurabile, gas di scarico o CO2 trasferito da uno all'altro.</t>
  </si>
  <si>
    <t>Si prega di notare che tutti i dati qui riportati devono riguardare informazioni relative all'impianto che presenta tale domanda, pertinenti DOPO la fusione, la scissione o il trasferimento di parti dell’impianto.</t>
  </si>
  <si>
    <t>Ultimo aggiornamento dell’autorizzazione:</t>
  </si>
  <si>
    <t>Si prega di fornire qui informazioni su tutti gli impianti interessati dalla fusione, dalla scissione o dal trasferimento di parti dell’impianto.</t>
  </si>
  <si>
    <t>La descrizione degli impianti 1 e 2 deve riguardare la situazione PRIMA della fusione, della scissione o del trasferimento di parti dell’impianto.</t>
  </si>
  <si>
    <t>La descrizione degli impianti 3 e 4 deve riguardare la situazione DOPO la fusione, la scissione o il trasferimento di parti dell’impianto, dove l'impianto 3 è quello che presenta la domanda</t>
  </si>
  <si>
    <t>Si prega di notare che spesso vi è un solo impianto prima o dopo la modifica. In tal caso non occorre compilare tutte le sezioni:</t>
  </si>
  <si>
    <t>In caso di fusione, di norma ci sono due impianti PRIMA del cambiamento e uno solo DOPO il cambiamento (sezioni pertinenti: 1, 2 e 3)</t>
  </si>
  <si>
    <t>Nel caso di una scissione, di norma c'è un impianto PRIMA del cambiamento e due DOPO il cambiamento (sezioni pertinenti: 1, 3 e 4)</t>
  </si>
  <si>
    <t>Si tratta dello stesso impianto per il quale viene presentata la domanda?</t>
  </si>
  <si>
    <t>Indicare "GIUSTO" se il codice di identificazione e i dati relativi all'impianto (sezione II precedente) PRIMA della fusione, della scissione o del trasferimento rimangono gli stessi anche DOPO la modifica.</t>
  </si>
  <si>
    <t>L'inserimento della dicitura "SBAGLIATO" qui significa che il codice di identificazione e i dati relativi all'impianto sono diversi. In tal caso, il nome dell’impianto 1 PRIMA della fusione, della scissione o del trasferimento deve essere inserito manualmente al punto ii) in appresso.</t>
  </si>
  <si>
    <t>Nome dell’impianto (dalla sezione II.1.a)</t>
  </si>
  <si>
    <t>Inserimento manuale (se nome diverso da i).</t>
  </si>
  <si>
    <t>Nome dell’impianto utilizzato nella domanda</t>
  </si>
  <si>
    <t>Codice identificativo unico fornito dall'autorità competente</t>
  </si>
  <si>
    <t>Codice identificativo unico utilizzato per la notifica</t>
  </si>
  <si>
    <t>Codice identificativo unico del registro automatico</t>
  </si>
  <si>
    <t>Immissione manuale del codice identificativo unico</t>
  </si>
  <si>
    <t>Se è coinvolto un solo impianto PRIMA della fusione, della scissione o del trasferimento, la presente sezione deve essere lasciata vuota.</t>
  </si>
  <si>
    <t>Codice identificativo unico automatico</t>
  </si>
  <si>
    <t>Inserimento manuale (se i. non è corretto)</t>
  </si>
  <si>
    <t>Nota: Si tratta dell’impianto per il quale viene presentata la domanda. I dati immessi qui sono pertanto identici a quelli di cui alla sezione II.</t>
  </si>
  <si>
    <t>Se è coinvolto un solo impianto DOPO la fusione, la scissione o il trasferimento, la presente sezione deve essere lasciata vuota.</t>
  </si>
  <si>
    <t>B. Situazione di partenza</t>
  </si>
  <si>
    <t>Scheda "Situazione di partenza"</t>
  </si>
  <si>
    <t>Situazione PRIMA della fusione di impianti</t>
  </si>
  <si>
    <t>Assegnazione definitiva più recente senza fattori di adeguamento per eventuali cessazioni parziali</t>
  </si>
  <si>
    <t>Si prega di inserire qui il totale finale più recente di quote assegnate a titolo gratuito senza l’applicazione di fattori di adeguamento, ai sensi dell'articolo 23 delle CIM.</t>
  </si>
  <si>
    <t>Assegnazione definitiva più recente con fattori di adeguamento per eventuali cessazioni parziali</t>
  </si>
  <si>
    <t>Si prega di inserire qui il totale finale più recente di quote assegnate a titolo gratuito previa applicazione di fattori di adeguamento, ai sensi dell'articolo 23 delle CIM.</t>
  </si>
  <si>
    <t>Capacità iniziale installata e livello di attività annuale iniziale</t>
  </si>
  <si>
    <t>Indicare qui i valori relativi alla capacità e al livello di attività che sono stati utilizzati per la determinazione dell'assegnazione finale più recente.</t>
  </si>
  <si>
    <t>Questi valori devono rispecchiare l’attuale capacità iniziale installata e il livello di attività annuale iniziale e verranno utilizzati per eventuali modifiche future delle assegnazioni, conformemente agli articoli da 19 a 23 delle CIM.</t>
  </si>
  <si>
    <t>C. Fusione, scissione, cessione</t>
  </si>
  <si>
    <t>Scheda "Fusione, scissione e cessione"</t>
  </si>
  <si>
    <t>Cessione di quote, di capacità e di livello di attività</t>
  </si>
  <si>
    <t>Si prega di inserire qui la percentuale di quote, di capacità e di livello di attività trasferite dal primo impianto.</t>
  </si>
  <si>
    <t>da:</t>
  </si>
  <si>
    <t>a:</t>
  </si>
  <si>
    <t>Quota</t>
  </si>
  <si>
    <t>Capacità installata</t>
  </si>
  <si>
    <t>Livello di attività annuale</t>
  </si>
  <si>
    <t>D. Sintesi</t>
  </si>
  <si>
    <t>Scheda "Sintesi"</t>
  </si>
  <si>
    <t>Impianti interessati dalla fusione, dalla scissione o dal trasferimento</t>
  </si>
  <si>
    <t>Nuova assegnazione</t>
  </si>
  <si>
    <t>Nuova capacità installata iniziale e livello di attività annuale</t>
  </si>
  <si>
    <t>Anno</t>
  </si>
  <si>
    <t>Anno a partire dal quale l'assegnazione cambia</t>
  </si>
  <si>
    <t xml:space="preserve">In linea di principio, l’assegnazione sarà modificata a partire dall’anno successivo alla fusione, alla scissione o al trasferimento di parti dell’impianto. </t>
  </si>
  <si>
    <t>Tuttavia, se sono già state rilasciate quote per tale anno, l’assegnazione cambierà soltanto dal secondo anno successivo alla fusione, alla scissione o al trasferimento di parti dell’impianto.</t>
  </si>
  <si>
    <t>Esempio: Una scissione avviene nel novembre 2014 ed è comunicata a gennaio 2015. L’assegnazione cambierà a partire dal 2015. Se la scissione è comunicata solo dopo che le quote sono già state rilasciate per il 2015 (ossia dopo il 28 febbraio 2015), l’assegnazione cambierà a partire dal 2016.</t>
  </si>
  <si>
    <t>Anno più remoto a partire del quale l'assegnazione sarà modificata in base ai dati di cui alla lettera b)</t>
  </si>
  <si>
    <t>Quote già iscritte  sul conto nell’anno di cui al punto i</t>
  </si>
  <si>
    <t>Risultato finale: Anno a partire dal quale l'assegnazione cambia</t>
  </si>
  <si>
    <t>I quantitativi riportati qui riflettono il calcolo del quantitativo totale finale di quote assegnate a titolo gratuito all'impianto che presenta la domanda.</t>
  </si>
  <si>
    <t>Nota: I quantitativi riportati qui riflettono l’assegnazione all’altro impianto coinvolto e ciò è pertinente solo per i casi di scissione o trasferimento di parti di impianti. Sono riportati solo per motivi di completezza</t>
  </si>
  <si>
    <t>Fusione</t>
  </si>
  <si>
    <t>Scissione</t>
  </si>
  <si>
    <t>Trasferimento di parti</t>
  </si>
  <si>
    <t>Situazione relativa alla domanda in questione:</t>
  </si>
  <si>
    <t>Si prega di inserire qui la percentuale di quote, di capacità e di livello di attività trasferite dal secondo impianto.</t>
  </si>
  <si>
    <t>Il documento di orientamento 10 "Allocation for Mergers and Splits" (Assegnazioni per le operazioni di fusione e di scissione) al capitolo 1 riporta "Una fusione o una scissione non comportano l’assegnazione di un numero maggiore di quote rispetto alle assegnazioni riportate nella tabella nazionale di assegnazione (NAT) prima della fusione o della scissione".</t>
  </si>
  <si>
    <t>A causa dell’arrotondamento applicato e in funzione delle quote iscritte nella scheda C, è possibile che la somma degli importi calcolati nelle sezioni III.1 e III.2 superi l’assegnazione prima della fusione o della scissione. In tal caso, comparirà un messaggio di errore nel riquadro nel riquadro in appresso.</t>
  </si>
  <si>
    <t>Se qui di seguito compare un messaggio di errore, si prega di correggere le quote inserite nel foglio C per evitare che si verifichi l’errore di arrotondamento.</t>
  </si>
  <si>
    <t xml:space="preserve">La somma delle quote assegnate nella sezione III.1 e III.2 superano l'assegnazione iniziale prima della fusione o della scissione! </t>
  </si>
  <si>
    <t>endorsed by CCC</t>
  </si>
  <si>
    <t>Questa è la versione finale, approvata dal comitato sui cambiamenti climatici, nella riunione del 12 novembre 2015.</t>
  </si>
  <si>
    <t>È obbligatorio rispondere alla domanda f) del punto A!</t>
  </si>
  <si>
    <t>ets@minambiente.it</t>
  </si>
  <si>
    <t>http://www.minambiente.it/pagina/emission-trading</t>
  </si>
  <si>
    <t>ets@mianmbiente.it</t>
  </si>
  <si>
    <t>Per maggiorni informazioni, consultare la pagina web:</t>
  </si>
  <si>
    <t>http://www.minambiente.it/pagina/cessazione-di-attivita-cessazione-parziale-di-attivita-interruzione-di-attivita-e-riavvio</t>
  </si>
  <si>
    <t>Si tratta del numero di autorizzazione ad emettere gas ad effetto serra riportato nella deliberazione di rilascio dell'autorizzazione.</t>
  </si>
  <si>
    <t>Di norma si tratta di un numero naturale, ossia un codice diverso da quello identificativo dell'autorizzazione utilizzato nel registro, corrispondente all'"installation identifier" presente sul registro.</t>
  </si>
  <si>
    <t>Sono pertinenti soltanto i casi in cui il calore misurabile, i gas di scarico o il CO2 ai fini delle attività CCS superano i confini dell'impianto.</t>
  </si>
  <si>
    <t>Per "Importazione" si intende qui qualcosa che entra nell'impianto al quale questa comunicazione si riferisce, per "esportazione" si intende qualcosa che esce dai confini dell'impianto.</t>
  </si>
  <si>
    <t>Qualora il codice identificativo unico venga inserito manualmente nel registro al punto ii) in appresso, deve rispettare il formato seguente ""IT000000000012345"</t>
  </si>
  <si>
    <t>Modello di domanda di fusione, scissione e trasferimento di parti di impianti</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</si>
</sst>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Red]\-#,##0\ "/>
    <numFmt numFmtId="181" formatCode="#,##0.00_ ;[Red]\-#,##0.00\ "/>
    <numFmt numFmtId="182" formatCode="0.0000%"/>
    <numFmt numFmtId="183" formatCode="0.0000"/>
    <numFmt numFmtId="184" formatCode="[$-C07]dddd\,\ dd\.\ mmmm\ yyyy"/>
    <numFmt numFmtId="185" formatCode="0.00000000"/>
    <numFmt numFmtId="186" formatCode="0.0000000"/>
    <numFmt numFmtId="187" formatCode="0.000000"/>
    <numFmt numFmtId="188" formatCode="0.00000"/>
    <numFmt numFmtId="189" formatCode="0.000"/>
    <numFmt numFmtId="190" formatCode="0.0"/>
    <numFmt numFmtId="191" formatCode="&quot;Ja&quot;;&quot;Ja&quot;;&quot;Nein&quot;"/>
    <numFmt numFmtId="192" formatCode="&quot;Wahr&quot;;&quot;Wahr&quot;;&quot;Falsch&quot;"/>
    <numFmt numFmtId="193" formatCode="&quot;Ein&quot;;&quot;Ein&quot;;&quot;Aus&quot;"/>
    <numFmt numFmtId="194" formatCode="[$€-2]\ #,##0.00_);[Red]\([$€-2]\ #,##0.00\)"/>
    <numFmt numFmtId="195" formatCode="0.0%"/>
    <numFmt numFmtId="196" formatCode="0.000%"/>
    <numFmt numFmtId="197" formatCode="#,##0.0_ ;[Red]\-#,##0.0\ "/>
    <numFmt numFmtId="198" formatCode="#,##0.000_ ;[Red]\-#,##0.000\ "/>
    <numFmt numFmtId="199" formatCode="#,##0.0000_ ;[Red]\-#,##0.0000\ "/>
    <numFmt numFmtId="200" formatCode="#,##0.000"/>
    <numFmt numFmtId="201" formatCode="0.000_ ;[Red]\-0.000\ "/>
    <numFmt numFmtId="202" formatCode="0.0000_ ;[Red]\-0.0000\ "/>
    <numFmt numFmtId="203" formatCode="[$-409]dddd\,\ mmmm\ dd\,\ yyyy"/>
    <numFmt numFmtId="204" formatCode="#,##0.00;[Red]#,##0.00"/>
    <numFmt numFmtId="205" formatCode="0.0_)"/>
    <numFmt numFmtId="206" formatCode="0_)"/>
    <numFmt numFmtId="207" formatCode="#,##0_)"/>
    <numFmt numFmtId="208" formatCode="0.0%_)"/>
    <numFmt numFmtId="209" formatCode="#,##0.00000_ ;[Red]\-#,##0.00000\ "/>
    <numFmt numFmtId="210" formatCode="#,##0.000000_ ;[Red]\-#,##0.000000\ "/>
    <numFmt numFmtId="211" formatCode="#,##0.0000000_ ;[Red]\-#,##0.0000000\ "/>
    <numFmt numFmtId="212" formatCode="0.00_)"/>
    <numFmt numFmtId="213" formatCode="General_)"/>
    <numFmt numFmtId="214" formatCode="#,##0.0"/>
    <numFmt numFmtId="215" formatCode="0_ ;[Red]\-0\ "/>
    <numFmt numFmtId="216" formatCode="#,##0.00000000_ ;[Red]\-#,##0.00000000\ "/>
    <numFmt numFmtId="217" formatCode="#,##0.0000"/>
    <numFmt numFmtId="218" formatCode="#,##0.00000"/>
  </numFmts>
  <fonts count="96">
    <font>
      <sz val="10"/>
      <name val="Arial"/>
      <family val="0"/>
    </font>
    <font>
      <sz val="11"/>
      <color indexed="8"/>
      <name val="Calibri"/>
      <family val="2"/>
    </font>
    <font>
      <b/>
      <sz val="12"/>
      <color indexed="9"/>
      <name val="Arial"/>
      <family val="2"/>
    </font>
    <font>
      <b/>
      <sz val="10"/>
      <name val="Arial"/>
      <family val="2"/>
    </font>
    <font>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u val="single"/>
      <sz val="10"/>
      <color indexed="62"/>
      <name val="Arial"/>
      <family val="2"/>
    </font>
    <font>
      <i/>
      <sz val="8"/>
      <color indexed="14"/>
      <name val="Arial"/>
      <family val="2"/>
    </font>
    <font>
      <b/>
      <sz val="12"/>
      <name val="Arial"/>
      <family val="2"/>
    </font>
    <font>
      <b/>
      <sz val="11"/>
      <color indexed="18"/>
      <name val="Arial"/>
      <family val="2"/>
    </font>
    <font>
      <b/>
      <sz val="11"/>
      <name val="Arial"/>
      <family val="2"/>
    </font>
    <font>
      <b/>
      <u val="single"/>
      <sz val="10"/>
      <color indexed="12"/>
      <name val="Arial"/>
      <family val="2"/>
    </font>
    <font>
      <sz val="10"/>
      <color indexed="10"/>
      <name val="Arial"/>
      <family val="2"/>
    </font>
    <font>
      <b/>
      <i/>
      <sz val="8"/>
      <color indexed="62"/>
      <name val="Arial"/>
      <family val="2"/>
    </font>
    <font>
      <b/>
      <sz val="9"/>
      <name val="Tahoma"/>
      <family val="2"/>
    </font>
    <font>
      <b/>
      <sz val="10"/>
      <color indexed="13"/>
      <name val="Arial"/>
      <family val="2"/>
    </font>
    <font>
      <sz val="9"/>
      <name val="Tahoma"/>
      <family val="2"/>
    </font>
    <font>
      <sz val="9"/>
      <color indexed="12"/>
      <name val="Tahoma"/>
      <family val="2"/>
    </font>
    <font>
      <b/>
      <sz val="10"/>
      <color indexed="10"/>
      <name val="Arial"/>
      <family val="2"/>
    </font>
    <font>
      <b/>
      <i/>
      <sz val="10"/>
      <name val="Arial"/>
      <family val="2"/>
    </font>
    <font>
      <b/>
      <i/>
      <sz val="10"/>
      <color indexed="62"/>
      <name val="Arial"/>
      <family val="2"/>
    </font>
    <font>
      <sz val="10"/>
      <color indexed="18"/>
      <name val="Arial"/>
      <family val="2"/>
    </font>
    <font>
      <b/>
      <i/>
      <u val="single"/>
      <sz val="10"/>
      <color indexed="62"/>
      <name val="Arial"/>
      <family val="2"/>
    </font>
    <font>
      <i/>
      <sz val="10"/>
      <name val="Arial"/>
      <family val="2"/>
    </font>
    <font>
      <b/>
      <sz val="10"/>
      <name val="Times New Roman"/>
      <family val="1"/>
    </font>
    <font>
      <b/>
      <sz val="9"/>
      <name val="Times New Roman"/>
      <family val="1"/>
    </font>
    <font>
      <b/>
      <vertAlign val="subscript"/>
      <sz val="9"/>
      <name val="Times New Roman"/>
      <family val="1"/>
    </font>
    <font>
      <sz val="9"/>
      <name val="Times New Roman"/>
      <family val="1"/>
    </font>
    <font>
      <u val="single"/>
      <sz val="10"/>
      <color indexed="36"/>
      <name val="Arial"/>
      <family val="2"/>
    </font>
    <font>
      <b/>
      <sz val="10"/>
      <color indexed="18"/>
      <name val="Arial"/>
      <family val="2"/>
    </font>
    <font>
      <sz val="10"/>
      <color indexed="62"/>
      <name val="Arial"/>
      <family val="2"/>
    </font>
    <font>
      <u val="single"/>
      <sz val="10"/>
      <color indexed="62"/>
      <name val="Arial"/>
      <family val="2"/>
    </font>
    <font>
      <i/>
      <u val="single"/>
      <sz val="8"/>
      <color indexed="12"/>
      <name val="Arial"/>
      <family val="2"/>
    </font>
    <font>
      <i/>
      <u val="single"/>
      <sz val="8"/>
      <color indexed="62"/>
      <name val="Arial"/>
      <family val="2"/>
    </font>
    <font>
      <sz val="8"/>
      <color indexed="62"/>
      <name val="Arial"/>
      <family val="2"/>
    </font>
    <font>
      <b/>
      <sz val="20"/>
      <color indexed="62"/>
      <name val="Arial"/>
      <family val="2"/>
    </font>
    <font>
      <b/>
      <i/>
      <sz val="12"/>
      <color indexed="18"/>
      <name val="Arial"/>
      <family val="2"/>
    </font>
    <font>
      <b/>
      <i/>
      <sz val="12"/>
      <name val="Arial"/>
      <family val="2"/>
    </font>
    <font>
      <i/>
      <sz val="10"/>
      <color indexed="18"/>
      <name val="Arial"/>
      <family val="2"/>
    </font>
    <font>
      <b/>
      <sz val="10"/>
      <color indexed="62"/>
      <name val="Arial"/>
      <family val="2"/>
    </font>
    <font>
      <i/>
      <vertAlign val="subscript"/>
      <sz val="8"/>
      <color indexed="62"/>
      <name val="Arial"/>
      <family val="2"/>
    </font>
    <font>
      <vertAlign val="subscript"/>
      <sz val="10"/>
      <name val="Arial"/>
      <family val="2"/>
    </font>
    <font>
      <b/>
      <sz val="11"/>
      <color indexed="23"/>
      <name val="Arial"/>
      <family val="2"/>
    </font>
    <font>
      <sz val="10"/>
      <color indexed="23"/>
      <name val="Arial"/>
      <family val="2"/>
    </font>
    <font>
      <b/>
      <sz val="10"/>
      <color indexed="23"/>
      <name val="Arial"/>
      <family val="2"/>
    </font>
    <font>
      <sz val="14"/>
      <color indexed="18"/>
      <name val="Arial"/>
      <family val="2"/>
    </font>
    <font>
      <i/>
      <sz val="8"/>
      <color indexed="23"/>
      <name val="Arial"/>
      <family val="2"/>
    </font>
    <font>
      <b/>
      <i/>
      <sz val="8"/>
      <color indexed="23"/>
      <name val="Arial"/>
      <family val="2"/>
    </font>
    <font>
      <sz val="8"/>
      <color indexed="10"/>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rgb="FFFF0000"/>
      <name val="Arial"/>
      <family val="2"/>
    </font>
    <font>
      <b/>
      <sz val="10"/>
      <color rgb="FFFF0000"/>
      <name val="Arial"/>
      <family val="2"/>
    </font>
    <font>
      <u val="single"/>
      <sz val="10"/>
      <color rgb="FF0000FF"/>
      <name val="Arial"/>
      <family val="2"/>
    </font>
    <font>
      <b/>
      <u val="single"/>
      <sz val="10"/>
      <color rgb="FF0000FF"/>
      <name val="Arial"/>
      <family val="2"/>
    </font>
    <font>
      <b/>
      <sz val="11"/>
      <color theme="1" tint="0.49998000264167786"/>
      <name val="Arial"/>
      <family val="2"/>
    </font>
    <font>
      <sz val="10"/>
      <color theme="1" tint="0.49998000264167786"/>
      <name val="Arial"/>
      <family val="2"/>
    </font>
    <font>
      <b/>
      <sz val="10"/>
      <color theme="1" tint="0.49998000264167786"/>
      <name val="Arial"/>
      <family val="2"/>
    </font>
    <font>
      <b/>
      <sz val="20"/>
      <color rgb="FF333399"/>
      <name val="Arial"/>
      <family val="2"/>
    </font>
    <font>
      <sz val="10"/>
      <color rgb="FF000080"/>
      <name val="Arial"/>
      <family val="2"/>
    </font>
    <font>
      <sz val="14"/>
      <color rgb="FF000080"/>
      <name val="Arial"/>
      <family val="2"/>
    </font>
    <font>
      <i/>
      <sz val="8"/>
      <color rgb="FF333399"/>
      <name val="Arial"/>
      <family val="2"/>
    </font>
    <font>
      <b/>
      <sz val="12"/>
      <color rgb="FFFFFFFF"/>
      <name val="Arial"/>
      <family val="2"/>
    </font>
    <font>
      <b/>
      <sz val="11"/>
      <color rgb="FF000080"/>
      <name val="Arial"/>
      <family val="2"/>
    </font>
    <font>
      <b/>
      <i/>
      <sz val="8"/>
      <color rgb="FF333399"/>
      <name val="Arial"/>
      <family val="2"/>
    </font>
    <font>
      <b/>
      <i/>
      <sz val="10"/>
      <color rgb="FF333399"/>
      <name val="Arial"/>
      <family val="2"/>
    </font>
    <font>
      <i/>
      <u val="single"/>
      <sz val="8"/>
      <color rgb="FF333399"/>
      <name val="Arial"/>
      <family val="2"/>
    </font>
    <font>
      <sz val="11"/>
      <color rgb="FF000000"/>
      <name val="Calibri"/>
      <family val="2"/>
    </font>
    <font>
      <b/>
      <sz val="10"/>
      <color rgb="FF000080"/>
      <name val="Arial"/>
      <family val="2"/>
    </font>
    <font>
      <sz val="11"/>
      <color rgb="FFFF0000"/>
      <name val="Calibri"/>
      <family val="2"/>
    </font>
    <font>
      <sz val="8"/>
      <color rgb="FFFF0000"/>
      <name val="Arial"/>
      <family val="2"/>
    </font>
    <font>
      <i/>
      <sz val="8"/>
      <color theme="1" tint="0.49998000264167786"/>
      <name val="Arial"/>
      <family val="2"/>
    </font>
    <font>
      <b/>
      <i/>
      <sz val="8"/>
      <color theme="1" tint="0.49998000264167786"/>
      <name val="Arial"/>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5"/>
        <bgColor indexed="64"/>
      </patternFill>
    </fill>
    <fill>
      <patternFill patternType="solid">
        <fgColor indexed="13"/>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rgb="FFFFFFFF"/>
        <bgColor indexed="64"/>
      </patternFill>
    </fill>
    <fill>
      <patternFill patternType="solid">
        <fgColor rgb="FFDDDDDD"/>
        <bgColor indexed="64"/>
      </patternFill>
    </fill>
    <fill>
      <patternFill patternType="solid">
        <fgColor rgb="FF0000FF"/>
        <bgColor indexed="64"/>
      </patternFill>
    </fill>
    <fill>
      <patternFill patternType="solid">
        <fgColor rgb="FF00FF00"/>
        <bgColor indexed="64"/>
      </patternFill>
    </fill>
    <fill>
      <patternFill patternType="lightUp">
        <bgColor indexed="9"/>
      </patternFill>
    </fill>
  </fills>
  <borders count="1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hair"/>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medium">
        <color indexed="8"/>
      </bottom>
    </border>
    <border>
      <left>
        <color indexed="63"/>
      </left>
      <right style="thick"/>
      <top>
        <color indexed="63"/>
      </top>
      <bottom style="medium">
        <color indexed="8"/>
      </bottom>
    </border>
    <border>
      <left style="thick"/>
      <right>
        <color indexed="63"/>
      </right>
      <top style="medium">
        <color indexed="8"/>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style="thick"/>
      <bottom style="medium">
        <color indexed="8"/>
      </bottom>
    </border>
    <border>
      <left style="medium"/>
      <right style="medium"/>
      <top style="thick"/>
      <bottom style="medium">
        <color indexed="8"/>
      </bottom>
    </border>
    <border>
      <left>
        <color indexed="63"/>
      </left>
      <right style="medium"/>
      <top style="thick"/>
      <bottom style="medium">
        <color indexed="8"/>
      </bottom>
    </border>
    <border>
      <left style="medium"/>
      <right>
        <color indexed="63"/>
      </right>
      <top style="medium">
        <color indexed="8"/>
      </top>
      <bottom style="medium">
        <color indexed="8"/>
      </bottom>
    </border>
    <border>
      <left style="medium"/>
      <right style="medium"/>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medium">
        <color indexed="8"/>
      </bottom>
    </border>
    <border>
      <left style="medium"/>
      <right>
        <color indexed="63"/>
      </right>
      <top style="medium"/>
      <bottom style="medium">
        <color indexed="8"/>
      </bottom>
    </border>
    <border>
      <left style="medium"/>
      <right>
        <color indexed="63"/>
      </right>
      <top style="medium">
        <color indexed="8"/>
      </top>
      <bottom style="medium"/>
    </border>
    <border>
      <left style="medium"/>
      <right style="medium"/>
      <top>
        <color indexed="63"/>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hair"/>
      <right style="hair"/>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medium"/>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thin"/>
      <bottom>
        <color indexed="63"/>
      </bottom>
    </border>
    <border>
      <left style="thin"/>
      <right>
        <color indexed="63"/>
      </right>
      <top style="thin"/>
      <bottom style="thin"/>
    </border>
    <border>
      <left style="thin"/>
      <right style="hair"/>
      <top style="hair"/>
      <bottom style="thin"/>
    </border>
    <border>
      <left style="thin"/>
      <right>
        <color indexed="63"/>
      </right>
      <top>
        <color indexed="63"/>
      </top>
      <bottom>
        <color indexed="63"/>
      </bottom>
    </border>
    <border>
      <left style="medium"/>
      <right style="hair"/>
      <top style="medium"/>
      <bottom style="hair"/>
    </border>
    <border>
      <left style="hair"/>
      <right style="hair"/>
      <top style="medium"/>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hair"/>
    </border>
    <border>
      <left style="thin"/>
      <right style="thin"/>
      <top style="thin"/>
      <bottom/>
    </border>
    <border>
      <left>
        <color indexed="63"/>
      </left>
      <right>
        <color indexed="63"/>
      </right>
      <top>
        <color indexed="63"/>
      </top>
      <bottom style="medium">
        <color indexed="12"/>
      </bottom>
    </border>
    <border>
      <left style="thin"/>
      <right style="thin"/>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thin"/>
      <top>
        <color indexed="63"/>
      </top>
      <bottom style="hair"/>
    </border>
    <border>
      <left style="medium"/>
      <right style="thin"/>
      <top style="hair"/>
      <bottom style="hair"/>
    </border>
    <border>
      <left style="medium"/>
      <right style="thin"/>
      <top style="hair"/>
      <bottom style="thin"/>
    </border>
    <border>
      <left style="medium"/>
      <right style="thin"/>
      <top style="hair"/>
      <bottom>
        <color indexed="63"/>
      </bottom>
    </border>
    <border>
      <left style="hair"/>
      <right>
        <color indexed="63"/>
      </right>
      <top style="thin"/>
      <bottom style="hair"/>
    </border>
    <border>
      <left>
        <color indexed="63"/>
      </left>
      <right>
        <color indexed="63"/>
      </right>
      <top style="hair"/>
      <bottom style="medium"/>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thin"/>
    </border>
    <border>
      <left>
        <color indexed="63"/>
      </left>
      <right style="thin"/>
      <top style="thin"/>
      <bottom>
        <color indexed="63"/>
      </bottom>
    </border>
    <border>
      <left style="hair"/>
      <right>
        <color indexed="63"/>
      </right>
      <top style="medium"/>
      <bottom style="hair"/>
    </border>
    <border>
      <left>
        <color indexed="63"/>
      </left>
      <right style="hair"/>
      <top style="medium"/>
      <bottom style="hair"/>
    </border>
    <border>
      <left style="medium"/>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color indexed="63"/>
      </left>
      <right style="medium"/>
      <top>
        <color indexed="63"/>
      </top>
      <bottom style="hair"/>
    </border>
    <border>
      <left>
        <color indexed="63"/>
      </left>
      <right style="medium"/>
      <top style="hair"/>
      <bottom style="thin"/>
    </border>
    <border>
      <left style="thin"/>
      <right>
        <color indexed="63"/>
      </right>
      <top style="medium"/>
      <bottom style="hair"/>
    </border>
    <border>
      <left style="thick"/>
      <right style="thick"/>
      <top style="medium">
        <color indexed="8"/>
      </top>
      <bottom>
        <color indexed="63"/>
      </bottom>
    </border>
    <border>
      <left style="thick"/>
      <right style="thick"/>
      <top>
        <color indexed="63"/>
      </top>
      <bottom style="thick"/>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0" fillId="20" borderId="1" applyNumberFormat="0" applyAlignment="0" applyProtection="0"/>
    <xf numFmtId="0" fontId="9" fillId="3" borderId="0" applyNumberFormat="0" applyBorder="0" applyAlignment="0" applyProtection="0"/>
    <xf numFmtId="0" fontId="10" fillId="20" borderId="2" applyNumberFormat="0" applyAlignment="0" applyProtection="0"/>
    <xf numFmtId="0" fontId="10" fillId="20" borderId="2" applyNumberFormat="0" applyAlignment="0" applyProtection="0"/>
    <xf numFmtId="0" fontId="11" fillId="21" borderId="3" applyNumberFormat="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17" fillId="7" borderId="2" applyNumberFormat="0" applyAlignment="0" applyProtection="0"/>
    <xf numFmtId="0" fontId="2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22" borderId="0" applyNumberFormat="0" applyBorder="0" applyAlignment="0" applyProtection="0"/>
    <xf numFmtId="0" fontId="0" fillId="23" borderId="9" applyNumberFormat="0" applyFont="0" applyAlignment="0" applyProtection="0"/>
    <xf numFmtId="0" fontId="1" fillId="23" borderId="9" applyNumberFormat="0" applyFont="0" applyAlignment="0" applyProtection="0"/>
    <xf numFmtId="0" fontId="20" fillId="20" borderId="1" applyNumberFormat="0" applyAlignment="0" applyProtection="0"/>
    <xf numFmtId="9" fontId="0" fillId="0" borderId="0" applyFont="0" applyFill="0" applyBorder="0" applyAlignment="0" applyProtection="0"/>
    <xf numFmtId="0" fontId="9" fillId="3" borderId="0" applyNumberFormat="0" applyBorder="0" applyAlignment="0" applyProtection="0"/>
    <xf numFmtId="0" fontId="1" fillId="0" borderId="0">
      <alignment/>
      <protection/>
    </xf>
    <xf numFmtId="0" fontId="21" fillId="0" borderId="0" applyNumberFormat="0" applyFill="0" applyBorder="0" applyAlignment="0" applyProtection="0"/>
    <xf numFmtId="0" fontId="22" fillId="0" borderId="4" applyNumberFormat="0" applyFill="0" applyAlignment="0" applyProtection="0"/>
    <xf numFmtId="0" fontId="21"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21" borderId="3" applyNumberFormat="0" applyAlignment="0" applyProtection="0"/>
  </cellStyleXfs>
  <cellXfs count="1077">
    <xf numFmtId="0" fontId="0" fillId="0" borderId="0" xfId="0" applyAlignment="1">
      <alignment/>
    </xf>
    <xf numFmtId="0" fontId="5" fillId="24" borderId="0" xfId="50" applyFill="1" applyBorder="1" applyAlignment="1" applyProtection="1">
      <alignment vertical="top"/>
      <protection/>
    </xf>
    <xf numFmtId="0" fontId="3" fillId="24" borderId="0" xfId="50"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25" borderId="0" xfId="0" applyNumberFormat="1" applyFont="1" applyFill="1" applyBorder="1" applyAlignment="1" applyProtection="1">
      <alignment vertical="top"/>
      <protection/>
    </xf>
    <xf numFmtId="0" fontId="0" fillId="24" borderId="0" xfId="0" applyFill="1" applyAlignment="1" applyProtection="1">
      <alignment/>
      <protection/>
    </xf>
    <xf numFmtId="0" fontId="4"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0" fillId="24" borderId="0" xfId="0" applyFont="1" applyFill="1" applyAlignment="1" applyProtection="1">
      <alignment/>
      <protection/>
    </xf>
    <xf numFmtId="0" fontId="0" fillId="25" borderId="0" xfId="0" applyFont="1" applyFill="1" applyAlignment="1" applyProtection="1">
      <alignment/>
      <protection/>
    </xf>
    <xf numFmtId="0" fontId="6" fillId="24" borderId="0" xfId="0" applyFont="1" applyFill="1" applyAlignment="1" applyProtection="1">
      <alignment vertical="top"/>
      <protection/>
    </xf>
    <xf numFmtId="0" fontId="2" fillId="26" borderId="0" xfId="0" applyFont="1" applyFill="1" applyBorder="1" applyAlignment="1" applyProtection="1">
      <alignment horizontal="left"/>
      <protection/>
    </xf>
    <xf numFmtId="0" fontId="2" fillId="26" borderId="0" xfId="0" applyFont="1" applyFill="1" applyBorder="1" applyAlignment="1" applyProtection="1">
      <alignment/>
      <protection/>
    </xf>
    <xf numFmtId="0" fontId="3" fillId="24" borderId="0" xfId="0" applyFont="1" applyFill="1" applyAlignment="1" applyProtection="1">
      <alignment horizontal="center" vertical="top"/>
      <protection/>
    </xf>
    <xf numFmtId="0" fontId="0" fillId="24" borderId="0" xfId="0" applyFont="1" applyFill="1" applyAlignment="1" applyProtection="1">
      <alignment vertical="top"/>
      <protection/>
    </xf>
    <xf numFmtId="0" fontId="28" fillId="24" borderId="0" xfId="0" applyFont="1" applyFill="1" applyAlignment="1" applyProtection="1">
      <alignment horizontal="center"/>
      <protection/>
    </xf>
    <xf numFmtId="0" fontId="28" fillId="24" borderId="0" xfId="0" applyFont="1" applyFill="1" applyAlignment="1" applyProtection="1">
      <alignment/>
      <protection/>
    </xf>
    <xf numFmtId="0" fontId="0" fillId="24" borderId="0" xfId="0" applyNumberFormat="1" applyFont="1" applyFill="1" applyBorder="1" applyAlignment="1" applyProtection="1">
      <alignment vertical="top"/>
      <protection/>
    </xf>
    <xf numFmtId="0" fontId="0" fillId="24" borderId="0" xfId="0" applyFill="1" applyAlignment="1" applyProtection="1">
      <alignment horizontal="left" vertical="top"/>
      <protection/>
    </xf>
    <xf numFmtId="0" fontId="0" fillId="24"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3" fillId="24" borderId="10" xfId="0" applyFont="1" applyFill="1" applyBorder="1" applyAlignment="1" applyProtection="1">
      <alignment horizontal="left" vertical="top"/>
      <protection/>
    </xf>
    <xf numFmtId="0" fontId="0" fillId="24" borderId="0" xfId="0" applyFont="1" applyFill="1" applyBorder="1" applyAlignment="1" applyProtection="1">
      <alignment/>
      <protection/>
    </xf>
    <xf numFmtId="0" fontId="0" fillId="24" borderId="12" xfId="0" applyNumberFormat="1" applyFont="1" applyFill="1" applyBorder="1" applyAlignment="1" applyProtection="1">
      <alignment vertical="top"/>
      <protection/>
    </xf>
    <xf numFmtId="0" fontId="0" fillId="24" borderId="10" xfId="0" applyNumberFormat="1" applyFont="1" applyFill="1" applyBorder="1" applyAlignment="1" applyProtection="1">
      <alignment horizontal="center" vertical="top"/>
      <protection/>
    </xf>
    <xf numFmtId="0" fontId="3" fillId="24"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0" fillId="4" borderId="11" xfId="0" applyNumberFormat="1" applyFont="1" applyFill="1" applyBorder="1" applyAlignment="1" applyProtection="1">
      <alignment vertical="top"/>
      <protection/>
    </xf>
    <xf numFmtId="0" fontId="0" fillId="24" borderId="0" xfId="0" applyNumberFormat="1" applyFont="1" applyFill="1" applyBorder="1" applyAlignment="1" applyProtection="1">
      <alignment horizontal="center" vertical="top"/>
      <protection/>
    </xf>
    <xf numFmtId="180" fontId="0" fillId="24" borderId="13" xfId="0" applyNumberFormat="1" applyFont="1" applyFill="1" applyBorder="1" applyAlignment="1" applyProtection="1">
      <alignment horizontal="right" vertical="top" indent="1"/>
      <protection/>
    </xf>
    <xf numFmtId="180" fontId="0" fillId="24" borderId="14" xfId="0" applyNumberFormat="1" applyFont="1" applyFill="1" applyBorder="1" applyAlignment="1" applyProtection="1">
      <alignment horizontal="right" vertical="top" indent="1"/>
      <protection/>
    </xf>
    <xf numFmtId="180" fontId="0" fillId="24" borderId="15" xfId="0" applyNumberFormat="1" applyFont="1" applyFill="1" applyBorder="1" applyAlignment="1" applyProtection="1">
      <alignment horizontal="right" vertical="top" indent="1"/>
      <protection/>
    </xf>
    <xf numFmtId="0" fontId="0" fillId="25" borderId="0" xfId="0" applyNumberFormat="1" applyFont="1" applyFill="1" applyBorder="1" applyAlignment="1" applyProtection="1">
      <alignment horizontal="center" vertical="top"/>
      <protection/>
    </xf>
    <xf numFmtId="0" fontId="0" fillId="25" borderId="0"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180" fontId="0" fillId="24" borderId="18" xfId="0" applyNumberFormat="1" applyFont="1" applyFill="1" applyBorder="1" applyAlignment="1" applyProtection="1">
      <alignment horizontal="right" vertical="top" indent="1"/>
      <protection/>
    </xf>
    <xf numFmtId="0" fontId="0" fillId="24" borderId="0" xfId="0" applyFill="1" applyAlignment="1" applyProtection="1">
      <alignment horizontal="center"/>
      <protection/>
    </xf>
    <xf numFmtId="0" fontId="0" fillId="0" borderId="0" xfId="0" applyNumberFormat="1" applyFont="1" applyFill="1" applyBorder="1" applyAlignment="1" applyProtection="1">
      <alignment horizontal="center" vertical="top"/>
      <protection/>
    </xf>
    <xf numFmtId="0" fontId="0" fillId="10" borderId="0"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20" xfId="0" applyNumberFormat="1" applyFont="1" applyFill="1" applyBorder="1" applyAlignment="1" applyProtection="1">
      <alignment horizontal="center" vertical="top"/>
      <protection/>
    </xf>
    <xf numFmtId="0" fontId="0" fillId="10" borderId="20" xfId="0" applyNumberFormat="1" applyFont="1" applyFill="1" applyBorder="1" applyAlignment="1" applyProtection="1">
      <alignment vertical="top"/>
      <protection/>
    </xf>
    <xf numFmtId="0" fontId="0" fillId="0" borderId="20"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22" xfId="0" applyNumberFormat="1" applyFont="1" applyFill="1" applyBorder="1" applyAlignment="1" applyProtection="1">
      <alignment vertical="top"/>
      <protection/>
    </xf>
    <xf numFmtId="0" fontId="0" fillId="0" borderId="23"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180" fontId="0" fillId="0" borderId="25" xfId="0" applyNumberFormat="1" applyFont="1" applyFill="1" applyBorder="1" applyAlignment="1" applyProtection="1">
      <alignment vertical="top"/>
      <protection/>
    </xf>
    <xf numFmtId="180" fontId="0" fillId="0" borderId="26" xfId="0" applyNumberFormat="1" applyFont="1" applyFill="1" applyBorder="1" applyAlignment="1" applyProtection="1">
      <alignment vertical="top"/>
      <protection/>
    </xf>
    <xf numFmtId="0" fontId="0" fillId="0" borderId="27" xfId="0" applyNumberFormat="1" applyFont="1" applyFill="1" applyBorder="1" applyAlignment="1" applyProtection="1">
      <alignment horizontal="center" vertical="top"/>
      <protection/>
    </xf>
    <xf numFmtId="0" fontId="0" fillId="0" borderId="28" xfId="0" applyNumberFormat="1" applyFont="1" applyFill="1" applyBorder="1" applyAlignment="1" applyProtection="1">
      <alignment horizontal="center" vertical="top"/>
      <protection/>
    </xf>
    <xf numFmtId="0" fontId="0" fillId="0" borderId="29" xfId="0" applyNumberFormat="1" applyFont="1" applyFill="1" applyBorder="1" applyAlignment="1" applyProtection="1">
      <alignment horizontal="center" vertical="top"/>
      <protection/>
    </xf>
    <xf numFmtId="0" fontId="0" fillId="0" borderId="27" xfId="0" applyNumberFormat="1" applyFont="1" applyFill="1" applyBorder="1" applyAlignment="1" applyProtection="1">
      <alignment vertical="top"/>
      <protection/>
    </xf>
    <xf numFmtId="0" fontId="0" fillId="0" borderId="28" xfId="0" applyNumberFormat="1" applyFont="1" applyFill="1" applyBorder="1" applyAlignment="1" applyProtection="1">
      <alignment vertical="top"/>
      <protection/>
    </xf>
    <xf numFmtId="0" fontId="0" fillId="0" borderId="29" xfId="0" applyNumberFormat="1" applyFont="1" applyFill="1" applyBorder="1" applyAlignment="1" applyProtection="1">
      <alignment vertical="top"/>
      <protection/>
    </xf>
    <xf numFmtId="0" fontId="0" fillId="0" borderId="30" xfId="0" applyNumberFormat="1" applyFont="1" applyFill="1" applyBorder="1" applyAlignment="1" applyProtection="1">
      <alignment vertical="top"/>
      <protection/>
    </xf>
    <xf numFmtId="0" fontId="0" fillId="0" borderId="31" xfId="0" applyNumberFormat="1" applyFont="1" applyFill="1" applyBorder="1" applyAlignment="1" applyProtection="1">
      <alignment vertical="top"/>
      <protection/>
    </xf>
    <xf numFmtId="0" fontId="0" fillId="0" borderId="32" xfId="0" applyNumberFormat="1" applyFont="1" applyFill="1" applyBorder="1" applyAlignment="1" applyProtection="1">
      <alignment vertical="top"/>
      <protection/>
    </xf>
    <xf numFmtId="0" fontId="0" fillId="0" borderId="30" xfId="0" applyNumberFormat="1" applyFont="1" applyFill="1" applyBorder="1" applyAlignment="1" applyProtection="1">
      <alignment horizontal="center" vertical="top"/>
      <protection/>
    </xf>
    <xf numFmtId="0" fontId="38" fillId="10" borderId="32" xfId="0" applyNumberFormat="1" applyFont="1" applyFill="1" applyBorder="1" applyAlignment="1" applyProtection="1">
      <alignment vertical="top"/>
      <protection/>
    </xf>
    <xf numFmtId="0" fontId="0" fillId="0" borderId="33" xfId="0" applyNumberFormat="1" applyFont="1" applyFill="1" applyBorder="1" applyAlignment="1" applyProtection="1">
      <alignment vertical="top"/>
      <protection/>
    </xf>
    <xf numFmtId="0" fontId="0" fillId="4" borderId="34" xfId="0" applyNumberFormat="1" applyFont="1" applyFill="1" applyBorder="1" applyAlignment="1" applyProtection="1">
      <alignment horizontal="center" vertical="top"/>
      <protection/>
    </xf>
    <xf numFmtId="0" fontId="0" fillId="4" borderId="35" xfId="0" applyNumberFormat="1" applyFont="1" applyFill="1" applyBorder="1" applyAlignment="1" applyProtection="1">
      <alignment horizontal="center" vertical="top"/>
      <protection/>
    </xf>
    <xf numFmtId="0" fontId="0" fillId="4" borderId="36" xfId="0" applyNumberFormat="1" applyFont="1" applyFill="1" applyBorder="1" applyAlignment="1" applyProtection="1">
      <alignment horizontal="center" vertical="top"/>
      <protection/>
    </xf>
    <xf numFmtId="0" fontId="3" fillId="24" borderId="37" xfId="0" applyNumberFormat="1" applyFont="1" applyFill="1" applyBorder="1" applyAlignment="1" applyProtection="1">
      <alignment horizontal="center" wrapText="1"/>
      <protection/>
    </xf>
    <xf numFmtId="0" fontId="7" fillId="24" borderId="0" xfId="0" applyFont="1" applyFill="1" applyAlignment="1" applyProtection="1" quotePrefix="1">
      <alignment horizontal="right" vertical="top"/>
      <protection/>
    </xf>
    <xf numFmtId="0" fontId="28" fillId="24" borderId="10" xfId="0" applyFont="1" applyFill="1" applyBorder="1" applyAlignment="1" applyProtection="1">
      <alignment horizontal="center"/>
      <protection/>
    </xf>
    <xf numFmtId="0" fontId="0" fillId="24" borderId="21" xfId="0" applyFont="1" applyFill="1" applyBorder="1" applyAlignment="1" applyProtection="1">
      <alignment/>
      <protection/>
    </xf>
    <xf numFmtId="0" fontId="0" fillId="24" borderId="20" xfId="0" applyFont="1" applyFill="1" applyBorder="1" applyAlignment="1" applyProtection="1">
      <alignment/>
      <protection/>
    </xf>
    <xf numFmtId="0" fontId="0" fillId="24" borderId="20" xfId="0" applyFill="1" applyBorder="1" applyAlignment="1" applyProtection="1">
      <alignment/>
      <protection/>
    </xf>
    <xf numFmtId="0" fontId="0" fillId="24" borderId="38" xfId="0" applyFill="1" applyBorder="1" applyAlignment="1" applyProtection="1">
      <alignment/>
      <protection/>
    </xf>
    <xf numFmtId="0" fontId="0" fillId="24" borderId="19" xfId="0" applyFont="1" applyFill="1" applyBorder="1" applyAlignment="1" applyProtection="1">
      <alignment/>
      <protection/>
    </xf>
    <xf numFmtId="0" fontId="0" fillId="24" borderId="39" xfId="0" applyFill="1" applyBorder="1" applyAlignment="1" applyProtection="1">
      <alignment/>
      <protection/>
    </xf>
    <xf numFmtId="0" fontId="0" fillId="24" borderId="19" xfId="0" applyNumberFormat="1" applyFont="1" applyFill="1" applyBorder="1" applyAlignment="1" applyProtection="1">
      <alignment vertical="top"/>
      <protection/>
    </xf>
    <xf numFmtId="0" fontId="0" fillId="24" borderId="39" xfId="0" applyNumberFormat="1" applyFont="1" applyFill="1" applyBorder="1" applyAlignment="1" applyProtection="1">
      <alignment vertical="top"/>
      <protection/>
    </xf>
    <xf numFmtId="0" fontId="0" fillId="24" borderId="17" xfId="0" applyFont="1" applyFill="1" applyBorder="1" applyAlignment="1" applyProtection="1">
      <alignment/>
      <protection/>
    </xf>
    <xf numFmtId="0" fontId="0" fillId="24" borderId="16" xfId="0" applyFont="1" applyFill="1" applyBorder="1" applyAlignment="1" applyProtection="1">
      <alignment/>
      <protection/>
    </xf>
    <xf numFmtId="0" fontId="0" fillId="24" borderId="16" xfId="0" applyFill="1" applyBorder="1" applyAlignment="1" applyProtection="1">
      <alignment/>
      <protection/>
    </xf>
    <xf numFmtId="0" fontId="0" fillId="24" borderId="40" xfId="0" applyFill="1" applyBorder="1" applyAlignment="1" applyProtection="1">
      <alignment/>
      <protection/>
    </xf>
    <xf numFmtId="0" fontId="3" fillId="0" borderId="40" xfId="0" applyNumberFormat="1" applyFont="1" applyFill="1" applyBorder="1" applyAlignment="1" applyProtection="1">
      <alignment vertical="top"/>
      <protection/>
    </xf>
    <xf numFmtId="0" fontId="0" fillId="0" borderId="0" xfId="0" applyAlignment="1" applyProtection="1">
      <alignment/>
      <protection/>
    </xf>
    <xf numFmtId="0" fontId="0" fillId="24" borderId="0" xfId="0" applyFill="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0" fontId="0" fillId="24" borderId="0" xfId="0" applyFill="1" applyBorder="1" applyAlignment="1" applyProtection="1">
      <alignment/>
      <protection/>
    </xf>
    <xf numFmtId="0" fontId="0" fillId="0" borderId="0" xfId="0" applyFill="1" applyAlignment="1" applyProtection="1">
      <alignment/>
      <protection/>
    </xf>
    <xf numFmtId="0" fontId="40" fillId="24" borderId="0" xfId="0" applyFont="1" applyFill="1" applyAlignment="1" applyProtection="1">
      <alignment horizontal="left"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protection/>
    </xf>
    <xf numFmtId="0" fontId="0" fillId="0" borderId="0" xfId="0" applyAlignment="1" applyProtection="1">
      <alignment/>
      <protection/>
    </xf>
    <xf numFmtId="0" fontId="0" fillId="20" borderId="0" xfId="0" applyFill="1" applyAlignment="1" applyProtection="1">
      <alignment/>
      <protection/>
    </xf>
    <xf numFmtId="0" fontId="0" fillId="24" borderId="0" xfId="0" applyFill="1" applyAlignment="1" applyProtection="1">
      <alignment vertical="top"/>
      <protection/>
    </xf>
    <xf numFmtId="0" fontId="0" fillId="24" borderId="0" xfId="0" applyFill="1" applyBorder="1" applyAlignment="1" applyProtection="1">
      <alignment vertical="top"/>
      <protection/>
    </xf>
    <xf numFmtId="180" fontId="0" fillId="24" borderId="0" xfId="0" applyNumberFormat="1" applyFill="1" applyBorder="1" applyAlignment="1" applyProtection="1">
      <alignment vertical="top"/>
      <protection/>
    </xf>
    <xf numFmtId="0" fontId="0" fillId="24" borderId="0" xfId="0" applyNumberFormat="1" applyFill="1" applyBorder="1" applyAlignment="1" applyProtection="1">
      <alignment vertical="top"/>
      <protection/>
    </xf>
    <xf numFmtId="0" fontId="0" fillId="0" borderId="0" xfId="0" applyAlignment="1" applyProtection="1">
      <alignment wrapText="1"/>
      <protection/>
    </xf>
    <xf numFmtId="0" fontId="3" fillId="24" borderId="0" xfId="0" applyFont="1" applyFill="1" applyAlignment="1" applyProtection="1">
      <alignment horizontal="center" vertical="top"/>
      <protection/>
    </xf>
    <xf numFmtId="0" fontId="3" fillId="24" borderId="0" xfId="0" applyFont="1" applyFill="1" applyAlignment="1" applyProtection="1">
      <alignment vertical="top"/>
      <protection/>
    </xf>
    <xf numFmtId="0" fontId="0" fillId="24" borderId="0" xfId="0" applyNumberFormat="1" applyFont="1" applyFill="1" applyBorder="1" applyAlignment="1" applyProtection="1">
      <alignment horizontal="left" vertical="top"/>
      <protection/>
    </xf>
    <xf numFmtId="0" fontId="26" fillId="24" borderId="0" xfId="0" applyFont="1" applyFill="1" applyAlignment="1" applyProtection="1">
      <alignment vertical="top"/>
      <protection/>
    </xf>
    <xf numFmtId="0" fontId="3" fillId="24" borderId="41" xfId="0" applyFont="1" applyFill="1" applyBorder="1" applyAlignment="1" applyProtection="1">
      <alignment vertical="top"/>
      <protection/>
    </xf>
    <xf numFmtId="0" fontId="3" fillId="24" borderId="10" xfId="0" applyFont="1" applyFill="1" applyBorder="1" applyAlignment="1" applyProtection="1">
      <alignment vertical="top"/>
      <protection/>
    </xf>
    <xf numFmtId="0" fontId="0" fillId="24" borderId="10" xfId="0" applyFont="1" applyFill="1" applyBorder="1" applyAlignment="1" applyProtection="1">
      <alignment vertical="top"/>
      <protection/>
    </xf>
    <xf numFmtId="0" fontId="0" fillId="24" borderId="10" xfId="0" applyFont="1" applyFill="1" applyBorder="1" applyAlignment="1" applyProtection="1">
      <alignment/>
      <protection/>
    </xf>
    <xf numFmtId="0" fontId="0" fillId="24" borderId="10" xfId="0" applyNumberFormat="1" applyFont="1" applyFill="1" applyBorder="1" applyAlignment="1" applyProtection="1">
      <alignment horizontal="left" vertical="top"/>
      <protection/>
    </xf>
    <xf numFmtId="0" fontId="0" fillId="24" borderId="0" xfId="0" applyFont="1" applyFill="1" applyAlignment="1" applyProtection="1">
      <alignment horizontal="center" vertical="top"/>
      <protection/>
    </xf>
    <xf numFmtId="0" fontId="3" fillId="24" borderId="41" xfId="0" applyFont="1" applyFill="1" applyBorder="1" applyAlignment="1" applyProtection="1">
      <alignment horizontal="left" vertical="top"/>
      <protection/>
    </xf>
    <xf numFmtId="0" fontId="37" fillId="0" borderId="0" xfId="0" applyFont="1" applyAlignment="1" applyProtection="1">
      <alignment/>
      <protection/>
    </xf>
    <xf numFmtId="0" fontId="31" fillId="0" borderId="0" xfId="0" applyFont="1" applyAlignment="1" applyProtection="1">
      <alignment/>
      <protection/>
    </xf>
    <xf numFmtId="0" fontId="0" fillId="22" borderId="0" xfId="0" applyFill="1" applyAlignment="1" applyProtection="1">
      <alignment/>
      <protection/>
    </xf>
    <xf numFmtId="0" fontId="0" fillId="10" borderId="0" xfId="0" applyFill="1" applyAlignment="1" applyProtection="1">
      <alignment/>
      <protection/>
    </xf>
    <xf numFmtId="0" fontId="3" fillId="0" borderId="10" xfId="0" applyFont="1" applyBorder="1" applyAlignment="1" applyProtection="1">
      <alignment/>
      <protection/>
    </xf>
    <xf numFmtId="0" fontId="0" fillId="0" borderId="10" xfId="0" applyBorder="1" applyAlignment="1" applyProtection="1">
      <alignment/>
      <protection/>
    </xf>
    <xf numFmtId="0" fontId="0" fillId="25" borderId="0" xfId="0" applyFill="1" applyAlignment="1" applyProtection="1">
      <alignment/>
      <protection/>
    </xf>
    <xf numFmtId="0" fontId="0" fillId="25" borderId="0" xfId="0" applyFill="1" applyAlignment="1" applyProtection="1">
      <alignment horizontal="center"/>
      <protection/>
    </xf>
    <xf numFmtId="0" fontId="34" fillId="26" borderId="0" xfId="0" applyFont="1" applyFill="1" applyAlignment="1" applyProtection="1">
      <alignment/>
      <protection/>
    </xf>
    <xf numFmtId="0" fontId="0" fillId="25" borderId="0" xfId="0" applyFill="1" applyAlignment="1" applyProtection="1">
      <alignment/>
      <protection/>
    </xf>
    <xf numFmtId="0" fontId="35" fillId="0" borderId="0" xfId="0" applyFont="1" applyAlignment="1" applyProtection="1">
      <alignment horizontal="left"/>
      <protection/>
    </xf>
    <xf numFmtId="0" fontId="0" fillId="25" borderId="0" xfId="0" applyFill="1" applyAlignment="1" applyProtection="1">
      <alignment wrapText="1"/>
      <protection/>
    </xf>
    <xf numFmtId="0" fontId="24" fillId="25" borderId="0" xfId="0" applyFont="1" applyFill="1" applyAlignment="1" applyProtection="1">
      <alignment wrapText="1"/>
      <protection/>
    </xf>
    <xf numFmtId="183" fontId="0" fillId="25" borderId="0" xfId="0" applyNumberFormat="1" applyFill="1" applyAlignment="1" applyProtection="1">
      <alignment/>
      <protection/>
    </xf>
    <xf numFmtId="0" fontId="24" fillId="0" borderId="0" xfId="0" applyFont="1" applyAlignment="1" applyProtection="1">
      <alignment/>
      <protection/>
    </xf>
    <xf numFmtId="183" fontId="0" fillId="27" borderId="0" xfId="0" applyNumberFormat="1" applyFill="1" applyAlignment="1" applyProtection="1">
      <alignment/>
      <protection/>
    </xf>
    <xf numFmtId="0" fontId="31" fillId="10" borderId="0" xfId="0" applyFont="1" applyFill="1" applyAlignment="1" applyProtection="1">
      <alignment/>
      <protection/>
    </xf>
    <xf numFmtId="0" fontId="36" fillId="0" borderId="0" xfId="0" applyFont="1" applyFill="1" applyAlignment="1" applyProtection="1">
      <alignment horizontal="left"/>
      <protection/>
    </xf>
    <xf numFmtId="0" fontId="36" fillId="0" borderId="0" xfId="0" applyFont="1" applyFill="1" applyAlignment="1" applyProtection="1">
      <alignment horizontal="left" indent="1"/>
      <protection/>
    </xf>
    <xf numFmtId="0" fontId="24" fillId="25" borderId="0" xfId="0" applyFont="1" applyFill="1" applyAlignment="1" applyProtection="1">
      <alignment/>
      <protection/>
    </xf>
    <xf numFmtId="0" fontId="0" fillId="0" borderId="0" xfId="0" applyBorder="1" applyAlignment="1" applyProtection="1">
      <alignment/>
      <protection/>
    </xf>
    <xf numFmtId="0" fontId="0" fillId="25" borderId="0" xfId="0" applyFill="1" applyBorder="1" applyAlignment="1" applyProtection="1">
      <alignment/>
      <protection/>
    </xf>
    <xf numFmtId="0" fontId="0" fillId="0" borderId="0" xfId="0" applyBorder="1" applyAlignment="1" applyProtection="1">
      <alignment horizontal="center"/>
      <protection/>
    </xf>
    <xf numFmtId="0" fontId="31" fillId="0" borderId="0" xfId="0" applyFont="1" applyAlignment="1" applyProtection="1">
      <alignment/>
      <protection/>
    </xf>
    <xf numFmtId="0" fontId="43" fillId="0" borderId="42" xfId="0" applyFont="1" applyBorder="1" applyAlignment="1" applyProtection="1">
      <alignment horizontal="left" vertical="top"/>
      <protection/>
    </xf>
    <xf numFmtId="0" fontId="44" fillId="0" borderId="43" xfId="0" applyFont="1" applyBorder="1" applyAlignment="1" applyProtection="1">
      <alignment horizontal="center" vertical="top" wrapText="1"/>
      <protection/>
    </xf>
    <xf numFmtId="0" fontId="43" fillId="0" borderId="44" xfId="0" applyFont="1" applyBorder="1" applyAlignment="1" applyProtection="1">
      <alignment horizontal="left" vertical="top"/>
      <protection/>
    </xf>
    <xf numFmtId="0" fontId="44" fillId="0" borderId="45" xfId="0" applyFont="1" applyBorder="1" applyAlignment="1" applyProtection="1">
      <alignment horizontal="center" vertical="top" wrapText="1"/>
      <protection/>
    </xf>
    <xf numFmtId="0" fontId="3" fillId="0" borderId="46" xfId="0" applyFont="1" applyBorder="1" applyAlignment="1" applyProtection="1">
      <alignment horizontal="left" vertical="top"/>
      <protection/>
    </xf>
    <xf numFmtId="0" fontId="44" fillId="0" borderId="47" xfId="0" applyFont="1" applyBorder="1" applyAlignment="1" applyProtection="1">
      <alignment horizontal="center" vertical="top" wrapText="1"/>
      <protection/>
    </xf>
    <xf numFmtId="0" fontId="3" fillId="0" borderId="48" xfId="0" applyFont="1" applyBorder="1" applyAlignment="1" applyProtection="1">
      <alignment horizontal="left" vertical="top"/>
      <protection/>
    </xf>
    <xf numFmtId="0" fontId="44" fillId="0" borderId="49" xfId="0" applyFont="1" applyBorder="1" applyAlignment="1" applyProtection="1">
      <alignment horizontal="center" vertical="top" wrapText="1"/>
      <protection/>
    </xf>
    <xf numFmtId="0" fontId="46" fillId="20" borderId="50" xfId="0" applyFont="1" applyFill="1" applyBorder="1" applyAlignment="1" applyProtection="1">
      <alignment horizontal="left" vertical="top"/>
      <protection/>
    </xf>
    <xf numFmtId="0" fontId="46" fillId="20" borderId="51" xfId="0" applyFont="1" applyFill="1" applyBorder="1" applyAlignment="1" applyProtection="1">
      <alignment horizontal="center" vertical="top" wrapText="1"/>
      <protection/>
    </xf>
    <xf numFmtId="0" fontId="46" fillId="20" borderId="52" xfId="0" applyFont="1" applyFill="1" applyBorder="1" applyAlignment="1" applyProtection="1">
      <alignment horizontal="center" vertical="top" wrapText="1"/>
      <protection/>
    </xf>
    <xf numFmtId="0" fontId="46" fillId="20" borderId="53" xfId="0" applyFont="1" applyFill="1" applyBorder="1" applyAlignment="1" applyProtection="1">
      <alignment horizontal="left" vertical="top"/>
      <protection/>
    </xf>
    <xf numFmtId="0" fontId="46" fillId="20" borderId="54" xfId="0" applyFont="1" applyFill="1" applyBorder="1" applyAlignment="1" applyProtection="1">
      <alignment horizontal="center" vertical="top" wrapText="1"/>
      <protection/>
    </xf>
    <xf numFmtId="0" fontId="46" fillId="20" borderId="55" xfId="0" applyFont="1" applyFill="1" applyBorder="1" applyAlignment="1" applyProtection="1">
      <alignment horizontal="center" vertical="top" wrapText="1"/>
      <protection/>
    </xf>
    <xf numFmtId="0" fontId="46" fillId="20" borderId="56" xfId="0" applyFont="1" applyFill="1" applyBorder="1" applyAlignment="1" applyProtection="1">
      <alignment horizontal="left" vertical="top"/>
      <protection/>
    </xf>
    <xf numFmtId="0" fontId="46" fillId="20" borderId="57" xfId="0" applyFont="1" applyFill="1" applyBorder="1" applyAlignment="1" applyProtection="1">
      <alignment horizontal="left" vertical="top"/>
      <protection/>
    </xf>
    <xf numFmtId="0" fontId="46" fillId="20" borderId="58" xfId="0" applyFont="1" applyFill="1" applyBorder="1" applyAlignment="1" applyProtection="1">
      <alignment horizontal="left" vertical="top"/>
      <protection/>
    </xf>
    <xf numFmtId="0" fontId="46" fillId="20" borderId="59" xfId="0" applyFont="1" applyFill="1" applyBorder="1" applyAlignment="1" applyProtection="1">
      <alignment horizontal="center" vertical="top" wrapText="1"/>
      <protection/>
    </xf>
    <xf numFmtId="0" fontId="46" fillId="20" borderId="21" xfId="0" applyFont="1" applyFill="1" applyBorder="1" applyAlignment="1" applyProtection="1">
      <alignment horizontal="center" vertical="top" wrapText="1"/>
      <protection/>
    </xf>
    <xf numFmtId="0" fontId="46" fillId="20" borderId="39" xfId="0" applyFont="1" applyFill="1" applyBorder="1" applyAlignment="1" applyProtection="1">
      <alignment horizontal="left" vertical="top"/>
      <protection/>
    </xf>
    <xf numFmtId="0" fontId="22" fillId="0" borderId="10" xfId="72" applyFont="1" applyBorder="1" applyProtection="1">
      <alignment/>
      <protection/>
    </xf>
    <xf numFmtId="0" fontId="1" fillId="0" borderId="0" xfId="72"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60" xfId="0" applyBorder="1" applyAlignment="1" applyProtection="1">
      <alignment/>
      <protection/>
    </xf>
    <xf numFmtId="0" fontId="0" fillId="22" borderId="61" xfId="0" applyFill="1" applyBorder="1" applyAlignment="1" applyProtection="1">
      <alignment/>
      <protection/>
    </xf>
    <xf numFmtId="0" fontId="0" fillId="0" borderId="62" xfId="0" applyBorder="1" applyAlignment="1" applyProtection="1">
      <alignment/>
      <protection/>
    </xf>
    <xf numFmtId="14" fontId="0" fillId="18" borderId="63" xfId="0" applyNumberFormat="1" applyFill="1" applyBorder="1" applyAlignment="1" applyProtection="1">
      <alignment horizontal="left"/>
      <protection/>
    </xf>
    <xf numFmtId="0" fontId="0" fillId="4" borderId="64" xfId="0" applyFill="1" applyBorder="1" applyAlignment="1" applyProtection="1">
      <alignment/>
      <protection/>
    </xf>
    <xf numFmtId="0" fontId="0" fillId="4" borderId="65" xfId="0" applyFill="1" applyBorder="1" applyAlignment="1" applyProtection="1">
      <alignment/>
      <protection/>
    </xf>
    <xf numFmtId="0" fontId="0" fillId="4" borderId="66" xfId="0" applyFill="1" applyBorder="1" applyAlignment="1" applyProtection="1">
      <alignment/>
      <protection/>
    </xf>
    <xf numFmtId="0" fontId="0" fillId="0" borderId="67" xfId="0" applyBorder="1" applyAlignment="1" applyProtection="1">
      <alignment/>
      <protection/>
    </xf>
    <xf numFmtId="0" fontId="0" fillId="8" borderId="68" xfId="0" applyFill="1" applyBorder="1" applyAlignment="1" applyProtection="1">
      <alignment/>
      <protection/>
    </xf>
    <xf numFmtId="0" fontId="0" fillId="0" borderId="69" xfId="0" applyBorder="1" applyAlignment="1" applyProtection="1">
      <alignment/>
      <protection/>
    </xf>
    <xf numFmtId="0" fontId="0" fillId="20" borderId="70" xfId="0" applyFill="1" applyBorder="1" applyAlignment="1" applyProtection="1">
      <alignment/>
      <protection/>
    </xf>
    <xf numFmtId="0" fontId="3" fillId="0" borderId="0" xfId="0" applyFont="1" applyBorder="1" applyAlignment="1" applyProtection="1">
      <alignment/>
      <protection/>
    </xf>
    <xf numFmtId="0" fontId="0" fillId="22" borderId="0" xfId="0" applyFill="1" applyBorder="1" applyAlignment="1" applyProtection="1">
      <alignment/>
      <protection/>
    </xf>
    <xf numFmtId="14" fontId="0" fillId="18" borderId="71" xfId="0" applyNumberFormat="1" applyFill="1" applyBorder="1" applyAlignment="1" applyProtection="1">
      <alignment horizontal="center"/>
      <protection/>
    </xf>
    <xf numFmtId="0" fontId="0" fillId="4" borderId="13" xfId="0" applyFill="1" applyBorder="1" applyAlignment="1" applyProtection="1">
      <alignment/>
      <protection/>
    </xf>
    <xf numFmtId="14" fontId="0" fillId="18" borderId="72" xfId="0" applyNumberFormat="1" applyFill="1" applyBorder="1" applyAlignment="1" applyProtection="1">
      <alignment horizontal="center"/>
      <protection/>
    </xf>
    <xf numFmtId="0" fontId="0" fillId="4" borderId="73" xfId="0" applyFill="1" applyBorder="1" applyAlignment="1" applyProtection="1">
      <alignment/>
      <protection/>
    </xf>
    <xf numFmtId="0" fontId="0" fillId="4" borderId="74" xfId="0" applyFill="1" applyBorder="1" applyAlignment="1" applyProtection="1">
      <alignment/>
      <protection/>
    </xf>
    <xf numFmtId="0" fontId="0" fillId="4" borderId="14" xfId="0" applyFill="1" applyBorder="1" applyAlignment="1" applyProtection="1">
      <alignment/>
      <protection/>
    </xf>
    <xf numFmtId="0" fontId="0" fillId="4" borderId="75" xfId="0" applyFill="1" applyBorder="1" applyAlignment="1" applyProtection="1">
      <alignment/>
      <protection/>
    </xf>
    <xf numFmtId="0" fontId="0" fillId="4" borderId="76" xfId="0" applyFill="1" applyBorder="1" applyAlignment="1" applyProtection="1">
      <alignment/>
      <protection/>
    </xf>
    <xf numFmtId="0" fontId="0" fillId="4" borderId="15" xfId="0" applyFill="1" applyBorder="1" applyAlignment="1" applyProtection="1">
      <alignment/>
      <protection/>
    </xf>
    <xf numFmtId="0" fontId="0" fillId="0" borderId="0" xfId="0" applyFill="1" applyBorder="1" applyAlignment="1" applyProtection="1">
      <alignment/>
      <protection/>
    </xf>
    <xf numFmtId="0" fontId="5" fillId="24" borderId="0" xfId="50" applyFill="1" applyAlignment="1" applyProtection="1">
      <alignment/>
      <protection/>
    </xf>
    <xf numFmtId="0" fontId="40" fillId="24" borderId="0" xfId="0" applyNumberFormat="1" applyFont="1" applyFill="1" applyAlignment="1" applyProtection="1">
      <alignment horizontal="left" vertical="top"/>
      <protection/>
    </xf>
    <xf numFmtId="0" fontId="48" fillId="24" borderId="0" xfId="0" applyFont="1" applyFill="1" applyAlignment="1" applyProtection="1">
      <alignment horizontal="center" vertical="top"/>
      <protection/>
    </xf>
    <xf numFmtId="0" fontId="48" fillId="24" borderId="32" xfId="0" applyNumberFormat="1" applyFont="1" applyFill="1" applyBorder="1" applyAlignment="1" applyProtection="1">
      <alignment horizontal="left" vertical="top"/>
      <protection/>
    </xf>
    <xf numFmtId="0" fontId="48" fillId="24" borderId="12" xfId="0" applyNumberFormat="1" applyFont="1" applyFill="1" applyBorder="1" applyAlignment="1" applyProtection="1">
      <alignment horizontal="left" vertical="top"/>
      <protection/>
    </xf>
    <xf numFmtId="0" fontId="48" fillId="24" borderId="10" xfId="0" applyNumberFormat="1" applyFont="1" applyFill="1" applyBorder="1" applyAlignment="1" applyProtection="1">
      <alignment horizontal="left" vertical="top"/>
      <protection/>
    </xf>
    <xf numFmtId="180" fontId="0" fillId="28" borderId="34" xfId="0" applyNumberFormat="1" applyFont="1" applyFill="1" applyBorder="1" applyAlignment="1" applyProtection="1">
      <alignment vertical="top"/>
      <protection locked="0"/>
    </xf>
    <xf numFmtId="0" fontId="0" fillId="24" borderId="0" xfId="0" applyFont="1" applyFill="1" applyAlignment="1" applyProtection="1">
      <alignment horizontal="right" vertical="top"/>
      <protection/>
    </xf>
    <xf numFmtId="0" fontId="0" fillId="24" borderId="0" xfId="0" applyFont="1" applyFill="1" applyAlignment="1" applyProtection="1">
      <alignment horizontal="right" indent="1"/>
      <protection/>
    </xf>
    <xf numFmtId="0" fontId="0" fillId="24" borderId="0" xfId="0" applyFont="1" applyFill="1" applyAlignment="1" applyProtection="1">
      <alignment horizontal="right" vertical="top" indent="1"/>
      <protection/>
    </xf>
    <xf numFmtId="0" fontId="7" fillId="24" borderId="0" xfId="0" applyFont="1" applyFill="1" applyAlignment="1" applyProtection="1" quotePrefix="1">
      <alignment horizontal="right" vertical="top" wrapText="1"/>
      <protection/>
    </xf>
    <xf numFmtId="0" fontId="0" fillId="0" borderId="0" xfId="0" applyNumberFormat="1" applyFont="1" applyFill="1" applyBorder="1" applyAlignment="1" applyProtection="1">
      <alignment horizontal="right" vertical="top"/>
      <protection/>
    </xf>
    <xf numFmtId="0" fontId="3" fillId="24" borderId="0" xfId="0" applyFont="1" applyFill="1" applyBorder="1" applyAlignment="1" applyProtection="1">
      <alignment horizontal="center" vertical="top"/>
      <protection/>
    </xf>
    <xf numFmtId="0" fontId="0" fillId="24" borderId="0" xfId="0" applyFill="1" applyBorder="1" applyAlignment="1" applyProtection="1">
      <alignment horizontal="center" vertical="top" wrapText="1"/>
      <protection/>
    </xf>
    <xf numFmtId="0" fontId="25" fillId="24" borderId="0" xfId="0" applyFont="1" applyFill="1" applyBorder="1" applyAlignment="1" applyProtection="1">
      <alignment/>
      <protection/>
    </xf>
    <xf numFmtId="0" fontId="6" fillId="24" borderId="0" xfId="0" applyFont="1" applyFill="1" applyBorder="1" applyAlignment="1" applyProtection="1">
      <alignment vertical="top"/>
      <protection/>
    </xf>
    <xf numFmtId="49" fontId="0" fillId="28" borderId="11" xfId="0" applyNumberFormat="1" applyFont="1" applyFill="1" applyBorder="1" applyAlignment="1" applyProtection="1">
      <alignment horizontal="center" vertical="top"/>
      <protection locked="0"/>
    </xf>
    <xf numFmtId="0" fontId="0" fillId="24" borderId="0" xfId="0" applyFill="1" applyBorder="1" applyAlignment="1" applyProtection="1">
      <alignment horizontal="center" vertical="top"/>
      <protection/>
    </xf>
    <xf numFmtId="0" fontId="3" fillId="21" borderId="77" xfId="0" applyFont="1" applyFill="1" applyBorder="1" applyAlignment="1" applyProtection="1">
      <alignment/>
      <protection/>
    </xf>
    <xf numFmtId="0" fontId="0" fillId="21" borderId="77" xfId="0" applyFill="1" applyBorder="1" applyAlignment="1" applyProtection="1">
      <alignment/>
      <protection/>
    </xf>
    <xf numFmtId="0" fontId="3" fillId="21" borderId="64" xfId="0" applyFont="1" applyFill="1" applyBorder="1" applyAlignment="1" applyProtection="1">
      <alignment/>
      <protection/>
    </xf>
    <xf numFmtId="0" fontId="0" fillId="24" borderId="0" xfId="0" applyFont="1" applyFill="1" applyBorder="1" applyAlignment="1" applyProtection="1">
      <alignment vertical="top"/>
      <protection/>
    </xf>
    <xf numFmtId="0" fontId="3" fillId="24" borderId="28" xfId="0" applyNumberFormat="1" applyFont="1" applyFill="1" applyBorder="1" applyAlignment="1" applyProtection="1">
      <alignment horizontal="right" indent="1"/>
      <protection/>
    </xf>
    <xf numFmtId="0" fontId="0" fillId="4" borderId="77" xfId="0" applyNumberFormat="1" applyFont="1" applyFill="1" applyBorder="1" applyAlignment="1" applyProtection="1">
      <alignment vertical="top"/>
      <protection/>
    </xf>
    <xf numFmtId="0" fontId="3" fillId="24" borderId="41" xfId="0" applyNumberFormat="1" applyFont="1" applyFill="1" applyBorder="1" applyAlignment="1" applyProtection="1">
      <alignment horizontal="right"/>
      <protection/>
    </xf>
    <xf numFmtId="0" fontId="0" fillId="21" borderId="0" xfId="0" applyFill="1" applyAlignment="1" applyProtection="1">
      <alignment/>
      <protection/>
    </xf>
    <xf numFmtId="0" fontId="0" fillId="25" borderId="0" xfId="0" applyNumberFormat="1" applyFont="1" applyFill="1" applyBorder="1" applyAlignment="1" applyProtection="1">
      <alignment vertical="center"/>
      <protection/>
    </xf>
    <xf numFmtId="0" fontId="0" fillId="24" borderId="0" xfId="0" applyFill="1" applyAlignment="1" applyProtection="1">
      <alignment vertical="center"/>
      <protection/>
    </xf>
    <xf numFmtId="0" fontId="0" fillId="24" borderId="0" xfId="0" applyFont="1" applyFill="1" applyAlignment="1" applyProtection="1">
      <alignment vertical="center"/>
      <protection/>
    </xf>
    <xf numFmtId="0" fontId="0" fillId="24" borderId="20" xfId="0" applyNumberFormat="1" applyFont="1" applyFill="1" applyBorder="1" applyAlignment="1" applyProtection="1">
      <alignment horizontal="center" vertical="top"/>
      <protection/>
    </xf>
    <xf numFmtId="0" fontId="3" fillId="24" borderId="37" xfId="0" applyNumberFormat="1" applyFont="1" applyFill="1" applyBorder="1" applyAlignment="1" applyProtection="1">
      <alignment vertical="top"/>
      <protection/>
    </xf>
    <xf numFmtId="180" fontId="3" fillId="4" borderId="37" xfId="0" applyNumberFormat="1" applyFont="1" applyFill="1" applyBorder="1" applyAlignment="1" applyProtection="1">
      <alignment vertical="top"/>
      <protection/>
    </xf>
    <xf numFmtId="0" fontId="3" fillId="24" borderId="0" xfId="0" applyFont="1" applyFill="1" applyBorder="1" applyAlignment="1" applyProtection="1">
      <alignment vertical="top"/>
      <protection/>
    </xf>
    <xf numFmtId="0" fontId="26" fillId="24" borderId="0" xfId="0" applyFont="1" applyFill="1" applyBorder="1" applyAlignment="1" applyProtection="1">
      <alignment vertical="top"/>
      <protection/>
    </xf>
    <xf numFmtId="0" fontId="0" fillId="24" borderId="0" xfId="0" applyNumberFormat="1" applyFont="1" applyFill="1" applyBorder="1" applyAlignment="1" applyProtection="1">
      <alignment vertical="top"/>
      <protection/>
    </xf>
    <xf numFmtId="0" fontId="0" fillId="24" borderId="28" xfId="0" applyNumberFormat="1" applyFont="1" applyFill="1" applyBorder="1" applyAlignment="1" applyProtection="1">
      <alignment horizontal="left" vertical="top"/>
      <protection/>
    </xf>
    <xf numFmtId="0" fontId="0" fillId="0" borderId="78" xfId="0" applyNumberFormat="1" applyFont="1" applyFill="1" applyBorder="1" applyAlignment="1" applyProtection="1">
      <alignment vertical="top"/>
      <protection/>
    </xf>
    <xf numFmtId="0" fontId="0" fillId="0" borderId="79" xfId="0" applyNumberFormat="1" applyFont="1" applyFill="1" applyBorder="1" applyAlignment="1" applyProtection="1">
      <alignment vertical="top"/>
      <protection/>
    </xf>
    <xf numFmtId="0" fontId="0" fillId="0" borderId="80" xfId="0" applyNumberFormat="1" applyFont="1" applyFill="1" applyBorder="1" applyAlignment="1" applyProtection="1">
      <alignment vertical="top"/>
      <protection/>
    </xf>
    <xf numFmtId="0" fontId="0" fillId="4" borderId="11" xfId="0" applyNumberFormat="1" applyFont="1" applyFill="1" applyBorder="1" applyAlignment="1" applyProtection="1">
      <alignment vertical="top" wrapText="1"/>
      <protection/>
    </xf>
    <xf numFmtId="49" fontId="0" fillId="24" borderId="0" xfId="0" applyNumberFormat="1" applyFont="1" applyFill="1" applyBorder="1" applyAlignment="1" applyProtection="1">
      <alignment horizontal="left" vertical="top"/>
      <protection/>
    </xf>
    <xf numFmtId="0" fontId="24"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5" fillId="24" borderId="0" xfId="50" applyFill="1" applyBorder="1" applyAlignment="1" applyProtection="1">
      <alignment horizontal="center" vertical="top"/>
      <protection/>
    </xf>
    <xf numFmtId="0" fontId="0" fillId="24" borderId="81" xfId="0" applyFill="1" applyBorder="1" applyAlignment="1" applyProtection="1">
      <alignment vertical="top"/>
      <protection/>
    </xf>
    <xf numFmtId="0" fontId="0" fillId="24" borderId="82" xfId="0" applyFill="1" applyBorder="1" applyAlignment="1" applyProtection="1">
      <alignment vertical="top"/>
      <protection/>
    </xf>
    <xf numFmtId="0" fontId="0" fillId="24" borderId="83" xfId="0" applyFill="1" applyBorder="1" applyAlignment="1" applyProtection="1">
      <alignment vertical="top"/>
      <protection/>
    </xf>
    <xf numFmtId="0" fontId="0" fillId="4" borderId="82" xfId="0" applyFill="1" applyBorder="1" applyAlignment="1" applyProtection="1">
      <alignment vertical="top"/>
      <protection/>
    </xf>
    <xf numFmtId="0" fontId="0" fillId="4" borderId="84" xfId="0" applyFill="1" applyBorder="1" applyAlignment="1" applyProtection="1">
      <alignment vertical="top"/>
      <protection/>
    </xf>
    <xf numFmtId="0" fontId="0" fillId="24" borderId="38" xfId="0" applyFill="1" applyBorder="1" applyAlignment="1" applyProtection="1">
      <alignment vertical="top"/>
      <protection/>
    </xf>
    <xf numFmtId="0" fontId="0" fillId="24" borderId="20" xfId="0" applyFill="1" applyBorder="1" applyAlignment="1" applyProtection="1">
      <alignment vertical="top"/>
      <protection/>
    </xf>
    <xf numFmtId="0" fontId="0" fillId="24" borderId="29" xfId="0" applyFill="1" applyBorder="1" applyAlignment="1" applyProtection="1">
      <alignment vertical="top"/>
      <protection/>
    </xf>
    <xf numFmtId="0" fontId="0" fillId="4" borderId="20" xfId="0" applyFill="1" applyBorder="1" applyAlignment="1" applyProtection="1">
      <alignment vertical="top"/>
      <protection/>
    </xf>
    <xf numFmtId="0" fontId="0" fillId="4" borderId="21" xfId="0" applyFill="1" applyBorder="1" applyAlignment="1" applyProtection="1">
      <alignment vertical="top"/>
      <protection/>
    </xf>
    <xf numFmtId="0" fontId="0" fillId="24" borderId="10" xfId="0" applyFill="1" applyBorder="1" applyAlignment="1" applyProtection="1">
      <alignment vertical="top"/>
      <protection/>
    </xf>
    <xf numFmtId="0" fontId="3" fillId="10" borderId="64" xfId="0" applyNumberFormat="1" applyFont="1" applyFill="1" applyBorder="1" applyAlignment="1" applyProtection="1">
      <alignment horizontal="left" vertical="center" wrapText="1"/>
      <protection/>
    </xf>
    <xf numFmtId="0" fontId="40" fillId="24" borderId="85" xfId="0" applyNumberFormat="1" applyFont="1" applyFill="1" applyBorder="1" applyAlignment="1" applyProtection="1">
      <alignment horizontal="left" vertical="top" wrapText="1"/>
      <protection/>
    </xf>
    <xf numFmtId="0" fontId="0" fillId="24" borderId="0" xfId="0" applyFill="1" applyAlignment="1" applyProtection="1">
      <alignment horizontal="left" vertical="top" wrapText="1"/>
      <protection/>
    </xf>
    <xf numFmtId="0" fontId="40" fillId="24" borderId="0" xfId="0" applyNumberFormat="1" applyFont="1" applyFill="1" applyAlignment="1" applyProtection="1">
      <alignment horizontal="left" vertical="top" wrapText="1"/>
      <protection/>
    </xf>
    <xf numFmtId="0" fontId="31" fillId="24" borderId="0" xfId="0" applyNumberFormat="1" applyFont="1" applyFill="1" applyAlignment="1" applyProtection="1">
      <alignment horizontal="left" vertical="top" wrapText="1"/>
      <protection/>
    </xf>
    <xf numFmtId="0" fontId="27" fillId="24" borderId="0" xfId="0" applyFont="1" applyFill="1" applyAlignment="1" applyProtection="1">
      <alignment horizontal="left" vertical="top" wrapText="1"/>
      <protection/>
    </xf>
    <xf numFmtId="0" fontId="40" fillId="24" borderId="86" xfId="0" applyNumberFormat="1" applyFont="1" applyFill="1" applyBorder="1" applyAlignment="1" applyProtection="1">
      <alignment horizontal="left" vertical="top" wrapText="1"/>
      <protection/>
    </xf>
    <xf numFmtId="0" fontId="7" fillId="24" borderId="0" xfId="0" applyFont="1" applyFill="1" applyAlignment="1" applyProtection="1">
      <alignment horizontal="left" vertical="top" wrapText="1"/>
      <protection/>
    </xf>
    <xf numFmtId="0" fontId="32" fillId="24" borderId="0" xfId="0" applyFont="1" applyFill="1" applyAlignment="1" applyProtection="1">
      <alignment horizontal="left" vertical="top" wrapText="1"/>
      <protection/>
    </xf>
    <xf numFmtId="0" fontId="39" fillId="24" borderId="0" xfId="0" applyNumberFormat="1" applyFont="1" applyFill="1" applyBorder="1" applyAlignment="1" applyProtection="1">
      <alignment horizontal="left" vertical="top" wrapText="1"/>
      <protection/>
    </xf>
    <xf numFmtId="0" fontId="52" fillId="24" borderId="0" xfId="0" applyFont="1" applyFill="1" applyAlignment="1" applyProtection="1">
      <alignment horizontal="left" vertical="top" wrapText="1"/>
      <protection/>
    </xf>
    <xf numFmtId="0" fontId="3" fillId="24" borderId="0" xfId="0" applyFont="1" applyFill="1" applyAlignment="1" applyProtection="1">
      <alignment horizontal="left" vertical="top" wrapText="1"/>
      <protection/>
    </xf>
    <xf numFmtId="0" fontId="5" fillId="24" borderId="0" xfId="50" applyFill="1" applyAlignment="1" applyProtection="1">
      <alignment horizontal="left" vertical="top" wrapText="1"/>
      <protection/>
    </xf>
    <xf numFmtId="0" fontId="2" fillId="26" borderId="0" xfId="0" applyFont="1" applyFill="1" applyBorder="1" applyAlignment="1" applyProtection="1">
      <alignment horizontal="left" vertical="top" wrapText="1"/>
      <protection/>
    </xf>
    <xf numFmtId="0" fontId="3" fillId="24" borderId="10" xfId="0" applyFont="1" applyFill="1" applyBorder="1" applyAlignment="1" applyProtection="1">
      <alignment horizontal="left" vertical="top" wrapText="1"/>
      <protection/>
    </xf>
    <xf numFmtId="0" fontId="28" fillId="24" borderId="10" xfId="0" applyFont="1" applyFill="1" applyBorder="1" applyAlignment="1" applyProtection="1">
      <alignment horizontal="left" vertical="top" wrapText="1"/>
      <protection/>
    </xf>
    <xf numFmtId="0" fontId="1" fillId="0" borderId="0" xfId="72" applyAlignment="1" applyProtection="1">
      <alignment horizontal="center"/>
      <protection/>
    </xf>
    <xf numFmtId="14" fontId="0" fillId="18" borderId="87" xfId="0" applyNumberFormat="1" applyFill="1" applyBorder="1" applyAlignment="1" applyProtection="1">
      <alignment horizontal="center"/>
      <protection/>
    </xf>
    <xf numFmtId="0" fontId="30" fillId="21" borderId="77" xfId="50" applyFont="1" applyFill="1" applyBorder="1" applyAlignment="1" applyProtection="1">
      <alignment horizontal="left" vertical="top" wrapText="1"/>
      <protection/>
    </xf>
    <xf numFmtId="0" fontId="30" fillId="21" borderId="40" xfId="50" applyFont="1" applyFill="1" applyBorder="1" applyAlignment="1" applyProtection="1">
      <alignment horizontal="left" vertical="top" wrapText="1"/>
      <protection/>
    </xf>
    <xf numFmtId="0" fontId="30" fillId="21" borderId="39" xfId="50" applyFont="1" applyFill="1" applyBorder="1" applyAlignment="1" applyProtection="1">
      <alignment horizontal="left" vertical="top" wrapText="1"/>
      <protection/>
    </xf>
    <xf numFmtId="0" fontId="3" fillId="24" borderId="0" xfId="0" applyFont="1" applyFill="1" applyBorder="1" applyAlignment="1" applyProtection="1">
      <alignment horizontal="left" vertical="top" wrapText="1"/>
      <protection/>
    </xf>
    <xf numFmtId="0" fontId="0" fillId="24" borderId="12" xfId="0" applyFill="1" applyBorder="1" applyAlignment="1" applyProtection="1">
      <alignment horizontal="left" vertical="top" wrapText="1"/>
      <protection/>
    </xf>
    <xf numFmtId="0" fontId="6" fillId="24" borderId="0" xfId="0" applyFont="1" applyFill="1" applyAlignment="1" applyProtection="1">
      <alignment horizontal="left" vertical="top" wrapText="1"/>
      <protection/>
    </xf>
    <xf numFmtId="0" fontId="50" fillId="24" borderId="0" xfId="0" applyFont="1" applyFill="1" applyAlignment="1" applyProtection="1">
      <alignment horizontal="left" vertical="top" wrapText="1"/>
      <protection/>
    </xf>
    <xf numFmtId="0" fontId="49" fillId="24" borderId="0" xfId="0" applyFont="1" applyFill="1" applyAlignment="1" applyProtection="1">
      <alignment horizontal="left" vertical="top" wrapText="1"/>
      <protection/>
    </xf>
    <xf numFmtId="0" fontId="7" fillId="24" borderId="10" xfId="0" applyFont="1" applyFill="1" applyBorder="1" applyAlignment="1" applyProtection="1">
      <alignment horizontal="left" vertical="top" wrapText="1"/>
      <protection/>
    </xf>
    <xf numFmtId="0" fontId="49" fillId="24" borderId="88" xfId="0" applyFont="1" applyFill="1" applyBorder="1" applyAlignment="1" applyProtection="1">
      <alignment horizontal="left" vertical="top" wrapText="1"/>
      <protection/>
    </xf>
    <xf numFmtId="0" fontId="3" fillId="21" borderId="40" xfId="0" applyFont="1" applyFill="1" applyBorder="1" applyAlignment="1" applyProtection="1">
      <alignment horizontal="left" vertical="center" wrapText="1"/>
      <protection/>
    </xf>
    <xf numFmtId="0" fontId="5" fillId="21" borderId="89" xfId="50" applyFill="1" applyBorder="1" applyAlignment="1" applyProtection="1">
      <alignment horizontal="left" vertical="top" wrapText="1"/>
      <protection/>
    </xf>
    <xf numFmtId="0" fontId="5" fillId="21" borderId="90" xfId="50" applyFill="1" applyBorder="1" applyAlignment="1" applyProtection="1">
      <alignment horizontal="left" vertical="top" wrapText="1"/>
      <protection/>
    </xf>
    <xf numFmtId="0" fontId="5" fillId="21" borderId="67" xfId="50" applyFill="1" applyBorder="1" applyAlignment="1" applyProtection="1">
      <alignment horizontal="left" vertical="top" wrapText="1"/>
      <protection/>
    </xf>
    <xf numFmtId="0" fontId="5" fillId="21" borderId="73" xfId="50" applyFill="1" applyBorder="1" applyAlignment="1" applyProtection="1">
      <alignment horizontal="left" vertical="top" wrapText="1"/>
      <protection/>
    </xf>
    <xf numFmtId="0" fontId="28" fillId="24" borderId="0" xfId="0" applyFont="1" applyFill="1" applyAlignment="1" applyProtection="1">
      <alignment horizontal="left" vertical="top" wrapText="1"/>
      <protection/>
    </xf>
    <xf numFmtId="0" fontId="0" fillId="24" borderId="0" xfId="0" applyFont="1" applyFill="1" applyAlignment="1" applyProtection="1">
      <alignment horizontal="left" vertical="top" wrapText="1"/>
      <protection/>
    </xf>
    <xf numFmtId="0" fontId="0" fillId="24" borderId="91" xfId="0" applyFont="1" applyFill="1" applyBorder="1" applyAlignment="1" applyProtection="1">
      <alignment horizontal="left" vertical="top" wrapText="1"/>
      <protection/>
    </xf>
    <xf numFmtId="0" fontId="0" fillId="24" borderId="92" xfId="0" applyFont="1" applyFill="1" applyBorder="1" applyAlignment="1" applyProtection="1">
      <alignment horizontal="left" vertical="top" wrapText="1"/>
      <protection/>
    </xf>
    <xf numFmtId="0" fontId="0" fillId="24" borderId="93" xfId="0"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top" wrapText="1"/>
      <protection/>
    </xf>
    <xf numFmtId="0" fontId="0" fillId="24" borderId="91" xfId="0" applyNumberFormat="1" applyFont="1" applyFill="1" applyBorder="1" applyAlignment="1" applyProtection="1">
      <alignment horizontal="left" vertical="top" wrapText="1"/>
      <protection/>
    </xf>
    <xf numFmtId="0" fontId="0" fillId="24" borderId="93" xfId="0" applyNumberFormat="1" applyFont="1" applyFill="1" applyBorder="1" applyAlignment="1" applyProtection="1">
      <alignment horizontal="left" vertical="top" wrapText="1"/>
      <protection/>
    </xf>
    <xf numFmtId="0" fontId="3" fillId="24" borderId="0" xfId="0" applyNumberFormat="1" applyFont="1" applyFill="1" applyAlignment="1" applyProtection="1">
      <alignment horizontal="left" vertical="top" wrapText="1"/>
      <protection/>
    </xf>
    <xf numFmtId="0" fontId="0" fillId="24" borderId="92" xfId="0" applyNumberFormat="1" applyFont="1" applyFill="1" applyBorder="1" applyAlignment="1" applyProtection="1">
      <alignment horizontal="left" vertical="top" wrapText="1"/>
      <protection/>
    </xf>
    <xf numFmtId="0" fontId="41" fillId="24" borderId="0" xfId="0" applyFont="1" applyFill="1" applyBorder="1" applyAlignment="1" applyProtection="1">
      <alignment horizontal="left" vertical="top" wrapText="1"/>
      <protection/>
    </xf>
    <xf numFmtId="0" fontId="3" fillId="24" borderId="28" xfId="0" applyNumberFormat="1" applyFont="1" applyFill="1" applyBorder="1" applyAlignment="1" applyProtection="1">
      <alignment horizontal="left" wrapText="1"/>
      <protection/>
    </xf>
    <xf numFmtId="0" fontId="3" fillId="24" borderId="94" xfId="0" applyNumberFormat="1" applyFont="1" applyFill="1" applyBorder="1" applyAlignment="1" applyProtection="1">
      <alignment horizontal="left" wrapText="1"/>
      <protection/>
    </xf>
    <xf numFmtId="0" fontId="3" fillId="24" borderId="10" xfId="0" applyNumberFormat="1" applyFont="1" applyFill="1" applyBorder="1" applyAlignment="1" applyProtection="1">
      <alignment horizontal="left" vertical="top" wrapText="1"/>
      <protection/>
    </xf>
    <xf numFmtId="0" fontId="3" fillId="0" borderId="94" xfId="0" applyNumberFormat="1" applyFont="1" applyFill="1" applyBorder="1" applyAlignment="1" applyProtection="1">
      <alignment horizontal="left" wrapText="1"/>
      <protection/>
    </xf>
    <xf numFmtId="0" fontId="7" fillId="24" borderId="0" xfId="0" applyNumberFormat="1" applyFont="1" applyFill="1" applyAlignment="1" applyProtection="1">
      <alignment horizontal="left" vertical="top" wrapText="1"/>
      <protection/>
    </xf>
    <xf numFmtId="0" fontId="42" fillId="24" borderId="93" xfId="0" applyNumberFormat="1" applyFont="1" applyFill="1" applyBorder="1" applyAlignment="1" applyProtection="1">
      <alignment horizontal="left" vertical="top" wrapText="1"/>
      <protection/>
    </xf>
    <xf numFmtId="0" fontId="3" fillId="24" borderId="32" xfId="0" applyNumberFormat="1" applyFont="1" applyFill="1" applyBorder="1" applyAlignment="1" applyProtection="1">
      <alignment horizontal="left" vertical="top" wrapText="1"/>
      <protection/>
    </xf>
    <xf numFmtId="0" fontId="0" fillId="24" borderId="32" xfId="0" applyNumberFormat="1" applyFont="1" applyFill="1" applyBorder="1" applyAlignment="1" applyProtection="1">
      <alignment horizontal="left" vertical="top" wrapText="1"/>
      <protection/>
    </xf>
    <xf numFmtId="0" fontId="0" fillId="24" borderId="22" xfId="0" applyNumberFormat="1" applyFont="1" applyFill="1" applyBorder="1" applyAlignment="1" applyProtection="1">
      <alignment horizontal="left" vertical="top" wrapText="1"/>
      <protection/>
    </xf>
    <xf numFmtId="0" fontId="3" fillId="24" borderId="0" xfId="0" applyFont="1" applyFill="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0" fontId="28" fillId="24" borderId="0" xfId="0" applyFont="1" applyFill="1" applyAlignment="1" applyProtection="1">
      <alignment horizontal="left" vertical="center" wrapText="1"/>
      <protection/>
    </xf>
    <xf numFmtId="0" fontId="7" fillId="24" borderId="0" xfId="0" applyFont="1" applyFill="1" applyAlignment="1" applyProtection="1">
      <alignment horizontal="left" vertical="center" wrapText="1"/>
      <protection/>
    </xf>
    <xf numFmtId="0" fontId="32" fillId="24" borderId="0" xfId="0" applyFont="1" applyFill="1" applyAlignment="1" applyProtection="1">
      <alignment horizontal="left" vertical="center" wrapText="1"/>
      <protection/>
    </xf>
    <xf numFmtId="0" fontId="3" fillId="24" borderId="22" xfId="0" applyNumberFormat="1"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center" wrapText="1"/>
      <protection/>
    </xf>
    <xf numFmtId="0" fontId="0" fillId="24" borderId="32" xfId="0" applyNumberFormat="1" applyFont="1" applyFill="1" applyBorder="1" applyAlignment="1" applyProtection="1">
      <alignment horizontal="left" vertical="center" wrapText="1"/>
      <protection/>
    </xf>
    <xf numFmtId="0" fontId="7" fillId="24" borderId="10" xfId="0" applyFont="1" applyFill="1" applyBorder="1" applyAlignment="1" applyProtection="1">
      <alignment horizontal="left" vertical="center" wrapText="1"/>
      <protection/>
    </xf>
    <xf numFmtId="0" fontId="0" fillId="24" borderId="91" xfId="0" applyNumberFormat="1" applyFont="1" applyFill="1" applyBorder="1" applyAlignment="1" applyProtection="1">
      <alignment horizontal="left" vertical="center" wrapText="1"/>
      <protection/>
    </xf>
    <xf numFmtId="0" fontId="0" fillId="24" borderId="92" xfId="0" applyNumberFormat="1" applyFont="1" applyFill="1" applyBorder="1" applyAlignment="1" applyProtection="1">
      <alignment horizontal="left" vertical="center" wrapText="1"/>
      <protection/>
    </xf>
    <xf numFmtId="0" fontId="3" fillId="24" borderId="32" xfId="0" applyNumberFormat="1" applyFont="1" applyFill="1" applyBorder="1" applyAlignment="1" applyProtection="1">
      <alignment horizontal="left" vertical="center" wrapText="1"/>
      <protection/>
    </xf>
    <xf numFmtId="0" fontId="3" fillId="24" borderId="94" xfId="0" applyNumberFormat="1" applyFont="1" applyFill="1" applyBorder="1" applyAlignment="1" applyProtection="1">
      <alignment horizontal="left" vertical="top" wrapText="1"/>
      <protection/>
    </xf>
    <xf numFmtId="0" fontId="3" fillId="24" borderId="94" xfId="0" applyFont="1" applyFill="1" applyBorder="1" applyAlignment="1" applyProtection="1">
      <alignment horizontal="left" vertical="top" wrapText="1"/>
      <protection/>
    </xf>
    <xf numFmtId="0" fontId="7" fillId="24" borderId="0" xfId="0"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top"/>
      <protection/>
    </xf>
    <xf numFmtId="0" fontId="0" fillId="24" borderId="0" xfId="0" applyNumberFormat="1" applyFont="1" applyFill="1" applyBorder="1" applyAlignment="1" applyProtection="1">
      <alignment horizontal="left" vertical="top" wrapText="1"/>
      <protection/>
    </xf>
    <xf numFmtId="0" fontId="7" fillId="24" borderId="0" xfId="0" applyNumberFormat="1" applyFont="1" applyFill="1" applyBorder="1" applyAlignment="1" applyProtection="1">
      <alignment horizontal="left" vertical="top" wrapText="1"/>
      <protection/>
    </xf>
    <xf numFmtId="0" fontId="53" fillId="24" borderId="0" xfId="0" applyNumberFormat="1" applyFont="1" applyFill="1" applyBorder="1" applyAlignment="1" applyProtection="1">
      <alignment horizontal="left" vertical="top" wrapText="1"/>
      <protection/>
    </xf>
    <xf numFmtId="0" fontId="53" fillId="24" borderId="0" xfId="0" applyFont="1" applyFill="1" applyBorder="1" applyAlignment="1" applyProtection="1">
      <alignment horizontal="left" vertical="top" wrapText="1"/>
      <protection/>
    </xf>
    <xf numFmtId="0" fontId="32" fillId="24" borderId="0" xfId="0" applyNumberFormat="1" applyFont="1" applyFill="1" applyBorder="1" applyAlignment="1" applyProtection="1">
      <alignment horizontal="left" vertical="top" wrapText="1"/>
      <protection/>
    </xf>
    <xf numFmtId="0" fontId="7" fillId="24" borderId="95" xfId="0" applyFont="1" applyFill="1" applyBorder="1" applyAlignment="1" applyProtection="1">
      <alignment horizontal="left" vertical="top" wrapText="1"/>
      <protection/>
    </xf>
    <xf numFmtId="0" fontId="7" fillId="24" borderId="93" xfId="0" applyFont="1" applyFill="1" applyBorder="1" applyAlignment="1" applyProtection="1">
      <alignment horizontal="left" vertical="top" wrapText="1"/>
      <protection/>
    </xf>
    <xf numFmtId="0" fontId="30" fillId="21" borderId="64" xfId="50" applyFont="1" applyFill="1" applyBorder="1" applyAlignment="1" applyProtection="1">
      <alignment horizontal="left" vertical="center" wrapText="1"/>
      <protection/>
    </xf>
    <xf numFmtId="0" fontId="0" fillId="27" borderId="0" xfId="0" applyFill="1" applyAlignment="1" applyProtection="1">
      <alignment/>
      <protection/>
    </xf>
    <xf numFmtId="0" fontId="37" fillId="24" borderId="0" xfId="0" applyNumberFormat="1" applyFont="1" applyFill="1" applyBorder="1" applyAlignment="1" applyProtection="1">
      <alignment vertical="top"/>
      <protection/>
    </xf>
    <xf numFmtId="0" fontId="2" fillId="26" borderId="0" xfId="0" applyFont="1" applyFill="1" applyBorder="1" applyAlignment="1" applyProtection="1">
      <alignment horizontal="left" vertical="center"/>
      <protection/>
    </xf>
    <xf numFmtId="0" fontId="37" fillId="24" borderId="0" xfId="0" applyNumberFormat="1" applyFont="1" applyFill="1" applyBorder="1" applyAlignment="1" applyProtection="1">
      <alignment/>
      <protection/>
    </xf>
    <xf numFmtId="0" fontId="37" fillId="0" borderId="0" xfId="0" applyNumberFormat="1" applyFont="1" applyFill="1" applyBorder="1" applyAlignment="1" applyProtection="1">
      <alignment vertical="top"/>
      <protection/>
    </xf>
    <xf numFmtId="0" fontId="0" fillId="2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24" borderId="0" xfId="0" applyFont="1" applyFill="1" applyAlignment="1" applyProtection="1">
      <alignment/>
      <protection/>
    </xf>
    <xf numFmtId="0" fontId="0" fillId="24" borderId="0" xfId="0" applyNumberFormat="1" applyFont="1" applyFill="1" applyBorder="1" applyAlignment="1" applyProtection="1">
      <alignment horizontal="right" vertical="top"/>
      <protection/>
    </xf>
    <xf numFmtId="0" fontId="37" fillId="24" borderId="0" xfId="0" applyFont="1" applyFill="1" applyAlignment="1" applyProtection="1">
      <alignment/>
      <protection/>
    </xf>
    <xf numFmtId="0" fontId="0" fillId="24" borderId="0" xfId="0" applyFill="1" applyAlignment="1" applyProtection="1">
      <alignment horizontal="left"/>
      <protection/>
    </xf>
    <xf numFmtId="0" fontId="0" fillId="28" borderId="11" xfId="0" applyNumberFormat="1" applyFont="1" applyFill="1" applyBorder="1" applyAlignment="1" applyProtection="1">
      <alignment horizontal="center" vertical="top"/>
      <protection locked="0"/>
    </xf>
    <xf numFmtId="0" fontId="0" fillId="24" borderId="10" xfId="0" applyFill="1" applyBorder="1" applyAlignment="1" applyProtection="1">
      <alignment/>
      <protection/>
    </xf>
    <xf numFmtId="0" fontId="37" fillId="0" borderId="0" xfId="0" applyFont="1" applyAlignment="1" applyProtection="1">
      <alignment wrapText="1"/>
      <protection/>
    </xf>
    <xf numFmtId="0" fontId="37" fillId="0" borderId="0" xfId="0" applyFont="1" applyAlignment="1" applyProtection="1">
      <alignment/>
      <protection/>
    </xf>
    <xf numFmtId="0" fontId="0" fillId="25" borderId="0" xfId="0" applyNumberFormat="1" applyFont="1" applyFill="1" applyBorder="1" applyAlignment="1" applyProtection="1">
      <alignment horizontal="center" vertical="top"/>
      <protection/>
    </xf>
    <xf numFmtId="0" fontId="0" fillId="25" borderId="0" xfId="0" applyFont="1" applyFill="1" applyAlignment="1" applyProtection="1">
      <alignment/>
      <protection/>
    </xf>
    <xf numFmtId="0" fontId="3" fillId="24" borderId="0" xfId="0" applyFont="1" applyFill="1" applyAlignment="1" applyProtection="1">
      <alignment vertical="center"/>
      <protection/>
    </xf>
    <xf numFmtId="0" fontId="2" fillId="26" borderId="0" xfId="0" applyFont="1" applyFill="1" applyBorder="1" applyAlignment="1" applyProtection="1">
      <alignment vertical="center"/>
      <protection/>
    </xf>
    <xf numFmtId="0" fontId="0" fillId="24" borderId="0" xfId="0" applyNumberFormat="1" applyFont="1" applyFill="1" applyBorder="1" applyAlignment="1" applyProtection="1">
      <alignment vertical="center"/>
      <protection/>
    </xf>
    <xf numFmtId="0" fontId="0" fillId="6" borderId="0" xfId="0" applyNumberFormat="1" applyFont="1" applyFill="1" applyBorder="1" applyAlignment="1" applyProtection="1">
      <alignment vertical="top"/>
      <protection/>
    </xf>
    <xf numFmtId="0" fontId="0" fillId="24" borderId="0" xfId="0" applyFill="1" applyBorder="1" applyAlignment="1" applyProtection="1">
      <alignment vertical="center"/>
      <protection/>
    </xf>
    <xf numFmtId="0" fontId="0" fillId="0" borderId="0" xfId="0" applyFont="1" applyAlignment="1" applyProtection="1">
      <alignment/>
      <protection/>
    </xf>
    <xf numFmtId="0" fontId="28" fillId="24" borderId="0" xfId="0" applyFont="1" applyFill="1" applyAlignment="1" applyProtection="1">
      <alignment horizontal="center" vertical="center"/>
      <protection/>
    </xf>
    <xf numFmtId="0" fontId="37" fillId="24" borderId="0" xfId="0" applyNumberFormat="1" applyFont="1" applyFill="1" applyBorder="1" applyAlignment="1" applyProtection="1">
      <alignment vertical="center"/>
      <protection/>
    </xf>
    <xf numFmtId="0" fontId="0" fillId="24" borderId="0" xfId="0" applyFill="1" applyBorder="1" applyAlignment="1" applyProtection="1">
      <alignment vertical="center" wrapText="1"/>
      <protection/>
    </xf>
    <xf numFmtId="0" fontId="0" fillId="6" borderId="0" xfId="0" applyFont="1" applyFill="1" applyAlignment="1" applyProtection="1">
      <alignment/>
      <protection/>
    </xf>
    <xf numFmtId="0" fontId="0" fillId="6" borderId="96" xfId="0" applyFont="1" applyFill="1" applyBorder="1" applyAlignment="1" applyProtection="1">
      <alignment horizontal="center" vertical="top"/>
      <protection/>
    </xf>
    <xf numFmtId="0" fontId="0" fillId="6" borderId="37" xfId="0" applyFont="1" applyFill="1" applyBorder="1" applyAlignment="1" applyProtection="1">
      <alignment horizontal="center"/>
      <protection/>
    </xf>
    <xf numFmtId="0" fontId="0" fillId="6" borderId="11" xfId="0" applyNumberFormat="1" applyFont="1" applyFill="1" applyBorder="1" applyAlignment="1" applyProtection="1">
      <alignment horizontal="center" vertical="top"/>
      <protection/>
    </xf>
    <xf numFmtId="0" fontId="0" fillId="6" borderId="11" xfId="0" applyNumberFormat="1" applyFont="1" applyFill="1" applyBorder="1" applyAlignment="1" applyProtection="1">
      <alignment vertical="top"/>
      <protection/>
    </xf>
    <xf numFmtId="0" fontId="0" fillId="24" borderId="97" xfId="0" applyNumberFormat="1" applyFont="1" applyFill="1" applyBorder="1" applyAlignment="1" applyProtection="1">
      <alignment vertical="top"/>
      <protection/>
    </xf>
    <xf numFmtId="0" fontId="0" fillId="6" borderId="0" xfId="0" applyNumberFormat="1" applyFont="1" applyFill="1" applyBorder="1" applyAlignment="1" applyProtection="1">
      <alignment horizontal="center" vertical="top"/>
      <protection/>
    </xf>
    <xf numFmtId="180" fontId="0" fillId="28" borderId="35" xfId="0" applyNumberFormat="1" applyFont="1" applyFill="1" applyBorder="1" applyAlignment="1" applyProtection="1">
      <alignment vertical="top"/>
      <protection locked="0"/>
    </xf>
    <xf numFmtId="180" fontId="0" fillId="28" borderId="98" xfId="0" applyNumberFormat="1" applyFont="1" applyFill="1" applyBorder="1" applyAlignment="1" applyProtection="1">
      <alignment vertical="top"/>
      <protection locked="0"/>
    </xf>
    <xf numFmtId="0" fontId="3" fillId="24" borderId="94" xfId="0" applyNumberFormat="1" applyFont="1" applyFill="1" applyBorder="1" applyAlignment="1" applyProtection="1">
      <alignment horizontal="center" wrapText="1"/>
      <protection/>
    </xf>
    <xf numFmtId="0" fontId="0" fillId="6" borderId="99" xfId="0" applyNumberFormat="1" applyFont="1" applyFill="1" applyBorder="1" applyAlignment="1" applyProtection="1">
      <alignment vertical="top"/>
      <protection/>
    </xf>
    <xf numFmtId="0" fontId="0" fillId="6" borderId="100" xfId="0" applyNumberFormat="1" applyFont="1" applyFill="1" applyBorder="1" applyAlignment="1" applyProtection="1">
      <alignment vertical="top"/>
      <protection/>
    </xf>
    <xf numFmtId="0" fontId="0" fillId="6" borderId="101" xfId="0" applyNumberFormat="1" applyFont="1" applyFill="1" applyBorder="1" applyAlignment="1" applyProtection="1">
      <alignment vertical="top"/>
      <protection/>
    </xf>
    <xf numFmtId="0" fontId="0" fillId="6" borderId="99" xfId="0" applyNumberFormat="1" applyFont="1" applyFill="1" applyBorder="1" applyAlignment="1" applyProtection="1">
      <alignment horizontal="center" vertical="top"/>
      <protection/>
    </xf>
    <xf numFmtId="0" fontId="0" fillId="6" borderId="100" xfId="0" applyNumberFormat="1" applyFont="1" applyFill="1" applyBorder="1" applyAlignment="1" applyProtection="1">
      <alignment horizontal="center" vertical="top"/>
      <protection/>
    </xf>
    <xf numFmtId="0" fontId="0" fillId="6" borderId="101" xfId="0" applyNumberFormat="1" applyFont="1" applyFill="1" applyBorder="1" applyAlignment="1" applyProtection="1">
      <alignment horizontal="center" vertical="top"/>
      <protection/>
    </xf>
    <xf numFmtId="0" fontId="0" fillId="6" borderId="0" xfId="0" applyNumberFormat="1" applyFont="1" applyFill="1" applyBorder="1" applyAlignment="1" applyProtection="1">
      <alignment horizontal="left" vertical="top"/>
      <protection/>
    </xf>
    <xf numFmtId="0" fontId="0" fillId="0" borderId="102" xfId="0" applyNumberFormat="1" applyFont="1" applyFill="1" applyBorder="1" applyAlignment="1" applyProtection="1">
      <alignment vertical="top"/>
      <protection/>
    </xf>
    <xf numFmtId="0" fontId="0" fillId="0" borderId="103" xfId="0" applyNumberFormat="1" applyFont="1" applyFill="1" applyBorder="1" applyAlignment="1" applyProtection="1">
      <alignment vertical="top"/>
      <protection/>
    </xf>
    <xf numFmtId="0" fontId="0" fillId="0" borderId="103" xfId="0" applyNumberFormat="1" applyFont="1" applyFill="1" applyBorder="1" applyAlignment="1" applyProtection="1">
      <alignment horizontal="center" vertical="top"/>
      <protection/>
    </xf>
    <xf numFmtId="0" fontId="0" fillId="0" borderId="104" xfId="0" applyNumberFormat="1" applyFont="1" applyFill="1" applyBorder="1" applyAlignment="1" applyProtection="1">
      <alignment horizontal="center" vertical="top"/>
      <protection/>
    </xf>
    <xf numFmtId="2" fontId="0" fillId="25" borderId="0" xfId="0" applyNumberFormat="1" applyFont="1" applyFill="1" applyBorder="1" applyAlignment="1" applyProtection="1">
      <alignment vertical="top"/>
      <protection/>
    </xf>
    <xf numFmtId="0" fontId="0" fillId="0" borderId="0" xfId="0" applyFont="1" applyBorder="1" applyAlignment="1" applyProtection="1">
      <alignment/>
      <protection/>
    </xf>
    <xf numFmtId="0" fontId="0" fillId="25" borderId="0" xfId="0" applyFont="1" applyFill="1" applyAlignment="1" applyProtection="1">
      <alignment vertical="center"/>
      <protection/>
    </xf>
    <xf numFmtId="0" fontId="0" fillId="0" borderId="0" xfId="0" applyNumberFormat="1" applyFont="1" applyFill="1" applyBorder="1" applyAlignment="1" applyProtection="1">
      <alignment vertical="top"/>
      <protection/>
    </xf>
    <xf numFmtId="0" fontId="0" fillId="20" borderId="0" xfId="0" applyFont="1" applyFill="1" applyBorder="1" applyAlignment="1" applyProtection="1">
      <alignment horizontal="left" vertical="top" wrapText="1"/>
      <protection/>
    </xf>
    <xf numFmtId="0" fontId="0" fillId="6" borderId="0" xfId="0" applyFont="1" applyFill="1" applyBorder="1" applyAlignment="1" applyProtection="1">
      <alignment horizontal="center"/>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24" borderId="97" xfId="0" applyNumberFormat="1" applyFont="1" applyFill="1" applyBorder="1" applyAlignment="1" applyProtection="1">
      <alignment horizontal="left" vertical="center" wrapText="1"/>
      <protection/>
    </xf>
    <xf numFmtId="0" fontId="0" fillId="24" borderId="97" xfId="0" applyNumberFormat="1" applyFont="1" applyFill="1" applyBorder="1" applyAlignment="1" applyProtection="1">
      <alignment horizontal="center" vertical="top"/>
      <protection/>
    </xf>
    <xf numFmtId="0" fontId="0" fillId="25" borderId="0" xfId="0" applyNumberFormat="1" applyFont="1" applyFill="1" applyBorder="1" applyAlignment="1" applyProtection="1">
      <alignment vertical="center"/>
      <protection/>
    </xf>
    <xf numFmtId="0" fontId="0" fillId="24" borderId="0" xfId="0" applyFill="1" applyAlignment="1" applyProtection="1">
      <alignment wrapText="1"/>
      <protection/>
    </xf>
    <xf numFmtId="180" fontId="0" fillId="28" borderId="105" xfId="0" applyNumberFormat="1" applyFont="1" applyFill="1" applyBorder="1" applyAlignment="1" applyProtection="1">
      <alignment vertical="top"/>
      <protection locked="0"/>
    </xf>
    <xf numFmtId="14" fontId="3" fillId="24" borderId="97" xfId="0" applyNumberFormat="1" applyFont="1" applyFill="1" applyBorder="1" applyAlignment="1" applyProtection="1">
      <alignment horizontal="center" vertical="top"/>
      <protection/>
    </xf>
    <xf numFmtId="0" fontId="0" fillId="4" borderId="74" xfId="0" applyFont="1" applyFill="1" applyBorder="1" applyAlignment="1" applyProtection="1">
      <alignment/>
      <protection/>
    </xf>
    <xf numFmtId="0" fontId="31" fillId="4" borderId="88" xfId="0" applyNumberFormat="1" applyFont="1" applyFill="1" applyBorder="1" applyAlignment="1" applyProtection="1">
      <alignment vertical="top"/>
      <protection/>
    </xf>
    <xf numFmtId="0" fontId="0" fillId="24" borderId="0" xfId="0" applyFont="1" applyFill="1" applyAlignment="1" applyProtection="1">
      <alignment/>
      <protection/>
    </xf>
    <xf numFmtId="0" fontId="37" fillId="24" borderId="0" xfId="0" applyFont="1" applyFill="1" applyAlignment="1" applyProtection="1">
      <alignment/>
      <protection/>
    </xf>
    <xf numFmtId="0" fontId="0" fillId="24" borderId="13" xfId="0" applyFont="1" applyFill="1" applyBorder="1" applyAlignment="1" applyProtection="1">
      <alignment horizontal="right" vertical="top" indent="1"/>
      <protection/>
    </xf>
    <xf numFmtId="0" fontId="0" fillId="24" borderId="14" xfId="0" applyFont="1" applyFill="1" applyBorder="1" applyAlignment="1" applyProtection="1">
      <alignment horizontal="right" vertical="top" indent="1"/>
      <protection/>
    </xf>
    <xf numFmtId="0" fontId="0" fillId="24" borderId="15" xfId="0" applyFont="1" applyFill="1" applyBorder="1" applyAlignment="1" applyProtection="1">
      <alignment horizontal="right" vertical="top" indent="1"/>
      <protection/>
    </xf>
    <xf numFmtId="0" fontId="3" fillId="24" borderId="0" xfId="0" applyFont="1" applyFill="1" applyAlignment="1" applyProtection="1">
      <alignment horizontal="left" vertical="center"/>
      <protection/>
    </xf>
    <xf numFmtId="0" fontId="1" fillId="28" borderId="0" xfId="72" applyFill="1" applyProtection="1">
      <alignment/>
      <protection/>
    </xf>
    <xf numFmtId="0" fontId="1" fillId="0" borderId="11" xfId="72" applyBorder="1" applyAlignment="1" applyProtection="1">
      <alignment horizontal="center" vertical="top"/>
      <protection/>
    </xf>
    <xf numFmtId="0" fontId="1" fillId="28" borderId="0" xfId="72" applyFill="1" applyAlignment="1" applyProtection="1">
      <alignment horizontal="center"/>
      <protection locked="0"/>
    </xf>
    <xf numFmtId="0" fontId="1" fillId="28" borderId="0" xfId="72" applyFill="1" applyProtection="1">
      <alignment/>
      <protection locked="0"/>
    </xf>
    <xf numFmtId="189" fontId="0" fillId="29" borderId="0" xfId="0" applyNumberFormat="1" applyFill="1" applyAlignment="1" applyProtection="1">
      <alignment/>
      <protection/>
    </xf>
    <xf numFmtId="0" fontId="3" fillId="29" borderId="0" xfId="0" applyFont="1" applyFill="1" applyAlignment="1" applyProtection="1">
      <alignment horizontal="right" wrapText="1"/>
      <protection/>
    </xf>
    <xf numFmtId="189" fontId="0" fillId="0" borderId="11" xfId="0" applyNumberFormat="1" applyFill="1" applyBorder="1" applyAlignment="1" applyProtection="1">
      <alignment/>
      <protection/>
    </xf>
    <xf numFmtId="0" fontId="3" fillId="24" borderId="94" xfId="0" applyNumberFormat="1" applyFont="1" applyFill="1" applyBorder="1" applyAlignment="1" applyProtection="1">
      <alignment wrapText="1"/>
      <protection/>
    </xf>
    <xf numFmtId="180" fontId="0" fillId="30" borderId="79" xfId="0" applyNumberFormat="1" applyFont="1" applyFill="1" applyBorder="1" applyAlignment="1" applyProtection="1">
      <alignment vertical="top"/>
      <protection/>
    </xf>
    <xf numFmtId="180" fontId="0" fillId="30" borderId="98" xfId="0" applyNumberFormat="1" applyFont="1" applyFill="1" applyBorder="1" applyAlignment="1" applyProtection="1">
      <alignment vertical="top"/>
      <protection/>
    </xf>
    <xf numFmtId="180" fontId="0" fillId="30" borderId="35" xfId="0" applyNumberFormat="1" applyFont="1" applyFill="1" applyBorder="1" applyAlignment="1" applyProtection="1">
      <alignment vertical="top"/>
      <protection/>
    </xf>
    <xf numFmtId="180" fontId="0" fillId="30" borderId="34" xfId="0" applyNumberFormat="1" applyFont="1" applyFill="1" applyBorder="1" applyAlignment="1" applyProtection="1">
      <alignment vertical="top"/>
      <protection/>
    </xf>
    <xf numFmtId="180" fontId="0" fillId="30" borderId="105" xfId="0" applyNumberFormat="1" applyFont="1" applyFill="1" applyBorder="1" applyAlignment="1" applyProtection="1">
      <alignment vertical="top"/>
      <protection/>
    </xf>
    <xf numFmtId="0" fontId="0" fillId="25" borderId="0" xfId="0" applyNumberFormat="1" applyFont="1" applyFill="1" applyBorder="1" applyAlignment="1" applyProtection="1">
      <alignment wrapText="1"/>
      <protection/>
    </xf>
    <xf numFmtId="0" fontId="0" fillId="24"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wrapText="1"/>
      <protection/>
    </xf>
    <xf numFmtId="0" fontId="37" fillId="24" borderId="0" xfId="0" applyFont="1" applyFill="1" applyAlignment="1" applyProtection="1">
      <alignment wrapText="1"/>
      <protection/>
    </xf>
    <xf numFmtId="0" fontId="3" fillId="24" borderId="0" xfId="0" applyFont="1" applyFill="1" applyAlignment="1" applyProtection="1">
      <alignment wrapText="1"/>
      <protection/>
    </xf>
    <xf numFmtId="0" fontId="31" fillId="4" borderId="106" xfId="0" applyNumberFormat="1" applyFont="1" applyFill="1" applyBorder="1" applyAlignment="1" applyProtection="1">
      <alignment horizontal="center" vertical="top"/>
      <protection/>
    </xf>
    <xf numFmtId="0" fontId="31" fillId="4" borderId="107" xfId="0" applyNumberFormat="1" applyFont="1" applyFill="1" applyBorder="1" applyAlignment="1" applyProtection="1">
      <alignment horizontal="center" vertical="top"/>
      <protection/>
    </xf>
    <xf numFmtId="0" fontId="31" fillId="4" borderId="108" xfId="0" applyNumberFormat="1" applyFont="1" applyFill="1" applyBorder="1" applyAlignment="1" applyProtection="1">
      <alignment horizontal="center" vertical="top"/>
      <protection/>
    </xf>
    <xf numFmtId="0" fontId="31" fillId="4" borderId="109" xfId="0" applyNumberFormat="1" applyFont="1" applyFill="1" applyBorder="1" applyAlignment="1" applyProtection="1">
      <alignment horizontal="center" vertical="top"/>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0" fillId="31" borderId="0" xfId="0" applyFont="1" applyFill="1" applyBorder="1" applyAlignment="1" applyProtection="1">
      <alignment vertical="top"/>
      <protection/>
    </xf>
    <xf numFmtId="0" fontId="0" fillId="31" borderId="0" xfId="0" applyFill="1" applyBorder="1" applyAlignment="1" applyProtection="1">
      <alignment vertical="top" wrapText="1"/>
      <protection/>
    </xf>
    <xf numFmtId="0" fontId="0" fillId="31" borderId="19" xfId="0" applyNumberFormat="1" applyFont="1" applyFill="1" applyBorder="1" applyAlignment="1" applyProtection="1">
      <alignment vertical="top"/>
      <protection/>
    </xf>
    <xf numFmtId="0" fontId="37" fillId="24" borderId="19" xfId="0" applyNumberFormat="1" applyFont="1" applyFill="1" applyBorder="1" applyAlignment="1" applyProtection="1">
      <alignment vertical="top"/>
      <protection/>
    </xf>
    <xf numFmtId="0" fontId="0" fillId="24" borderId="19" xfId="0" applyNumberFormat="1" applyFont="1" applyFill="1" applyBorder="1" applyAlignment="1" applyProtection="1">
      <alignment vertical="top"/>
      <protection/>
    </xf>
    <xf numFmtId="0" fontId="0" fillId="24" borderId="0" xfId="0" applyFont="1" applyFill="1" applyAlignment="1" applyProtection="1">
      <alignment wrapText="1"/>
      <protection/>
    </xf>
    <xf numFmtId="0" fontId="0" fillId="24" borderId="110" xfId="0" applyNumberFormat="1" applyFont="1" applyFill="1" applyBorder="1" applyAlignment="1" applyProtection="1">
      <alignment horizontal="center" vertical="top"/>
      <protection/>
    </xf>
    <xf numFmtId="180" fontId="0" fillId="30" borderId="103" xfId="0" applyNumberFormat="1" applyFont="1" applyFill="1" applyBorder="1" applyAlignment="1" applyProtection="1">
      <alignment vertical="top"/>
      <protection/>
    </xf>
    <xf numFmtId="180" fontId="0" fillId="28" borderId="103" xfId="0" applyNumberFormat="1" applyFont="1" applyFill="1" applyBorder="1" applyAlignment="1" applyProtection="1">
      <alignment vertical="top"/>
      <protection locked="0"/>
    </xf>
    <xf numFmtId="0" fontId="3" fillId="24" borderId="39" xfId="0" applyFont="1" applyFill="1" applyBorder="1" applyAlignment="1" applyProtection="1">
      <alignment/>
      <protection/>
    </xf>
    <xf numFmtId="0" fontId="3" fillId="24" borderId="0" xfId="0" applyFont="1" applyFill="1" applyBorder="1" applyAlignment="1" applyProtection="1">
      <alignment/>
      <protection/>
    </xf>
    <xf numFmtId="0" fontId="3" fillId="31" borderId="39" xfId="0" applyNumberFormat="1" applyFont="1" applyFill="1" applyBorder="1" applyAlignment="1" applyProtection="1">
      <alignment horizontal="center" wrapText="1"/>
      <protection/>
    </xf>
    <xf numFmtId="0" fontId="0" fillId="24" borderId="111" xfId="0" applyNumberFormat="1" applyFont="1" applyFill="1" applyBorder="1" applyAlignment="1" applyProtection="1">
      <alignment horizontal="center" vertical="top"/>
      <protection/>
    </xf>
    <xf numFmtId="0" fontId="3" fillId="31" borderId="112" xfId="0" applyNumberFormat="1" applyFont="1" applyFill="1" applyBorder="1" applyAlignment="1" applyProtection="1">
      <alignment horizontal="center" wrapText="1"/>
      <protection/>
    </xf>
    <xf numFmtId="0" fontId="3" fillId="31" borderId="113" xfId="0" applyNumberFormat="1" applyFont="1" applyFill="1" applyBorder="1" applyAlignment="1" applyProtection="1">
      <alignment horizontal="center" wrapText="1"/>
      <protection/>
    </xf>
    <xf numFmtId="0" fontId="3" fillId="31" borderId="94" xfId="0" applyNumberFormat="1" applyFont="1" applyFill="1" applyBorder="1" applyAlignment="1" applyProtection="1">
      <alignment horizontal="center" wrapText="1"/>
      <protection/>
    </xf>
    <xf numFmtId="0" fontId="0" fillId="32" borderId="0" xfId="0" applyNumberFormat="1" applyFont="1" applyFill="1" applyBorder="1" applyAlignment="1" applyProtection="1">
      <alignment vertical="top"/>
      <protection/>
    </xf>
    <xf numFmtId="0" fontId="3" fillId="32" borderId="0" xfId="0" applyNumberFormat="1" applyFont="1" applyFill="1" applyBorder="1" applyAlignment="1" applyProtection="1">
      <alignment horizontal="center" vertical="top"/>
      <protection/>
    </xf>
    <xf numFmtId="0" fontId="3" fillId="32" borderId="37" xfId="0" applyNumberFormat="1" applyFont="1" applyFill="1" applyBorder="1" applyAlignment="1" applyProtection="1">
      <alignment vertical="top"/>
      <protection/>
    </xf>
    <xf numFmtId="195" fontId="0" fillId="32" borderId="103" xfId="70" applyNumberFormat="1" applyFont="1" applyFill="1" applyBorder="1" applyAlignment="1" applyProtection="1">
      <alignment vertical="top"/>
      <protection/>
    </xf>
    <xf numFmtId="180" fontId="0" fillId="32" borderId="79" xfId="0" applyNumberFormat="1" applyFont="1" applyFill="1" applyBorder="1" applyAlignment="1" applyProtection="1">
      <alignment vertical="top"/>
      <protection/>
    </xf>
    <xf numFmtId="195" fontId="0" fillId="32" borderId="98" xfId="70" applyNumberFormat="1" applyFont="1" applyFill="1" applyBorder="1" applyAlignment="1" applyProtection="1">
      <alignment vertical="top"/>
      <protection/>
    </xf>
    <xf numFmtId="180" fontId="0" fillId="32" borderId="98" xfId="0" applyNumberFormat="1" applyFont="1" applyFill="1" applyBorder="1" applyAlignment="1" applyProtection="1">
      <alignment vertical="top"/>
      <protection/>
    </xf>
    <xf numFmtId="195" fontId="0" fillId="32" borderId="35" xfId="70" applyNumberFormat="1" applyFont="1" applyFill="1" applyBorder="1" applyAlignment="1" applyProtection="1">
      <alignment vertical="top"/>
      <protection/>
    </xf>
    <xf numFmtId="180" fontId="0" fillId="32" borderId="35" xfId="0" applyNumberFormat="1" applyFont="1" applyFill="1" applyBorder="1" applyAlignment="1" applyProtection="1">
      <alignment vertical="top"/>
      <protection/>
    </xf>
    <xf numFmtId="195" fontId="0" fillId="32" borderId="34" xfId="70" applyNumberFormat="1" applyFont="1" applyFill="1" applyBorder="1" applyAlignment="1" applyProtection="1">
      <alignment vertical="top"/>
      <protection/>
    </xf>
    <xf numFmtId="180" fontId="0" fillId="32" borderId="34" xfId="0" applyNumberFormat="1" applyFont="1" applyFill="1" applyBorder="1" applyAlignment="1" applyProtection="1">
      <alignment vertical="top"/>
      <protection/>
    </xf>
    <xf numFmtId="195" fontId="0" fillId="32" borderId="105" xfId="70" applyNumberFormat="1" applyFont="1" applyFill="1" applyBorder="1" applyAlignment="1" applyProtection="1">
      <alignment vertical="top"/>
      <protection/>
    </xf>
    <xf numFmtId="180" fontId="0" fillId="32" borderId="105" xfId="0" applyNumberFormat="1" applyFont="1" applyFill="1" applyBorder="1" applyAlignment="1" applyProtection="1">
      <alignment vertical="top"/>
      <protection/>
    </xf>
    <xf numFmtId="195" fontId="0" fillId="32" borderId="103" xfId="70" applyNumberFormat="1" applyFont="1" applyFill="1" applyBorder="1" applyAlignment="1" applyProtection="1">
      <alignment vertical="top"/>
      <protection/>
    </xf>
    <xf numFmtId="180" fontId="0" fillId="32" borderId="103" xfId="0" applyNumberFormat="1" applyFont="1" applyFill="1" applyBorder="1" applyAlignment="1" applyProtection="1">
      <alignment vertical="top"/>
      <protection/>
    </xf>
    <xf numFmtId="0" fontId="3" fillId="32" borderId="78" xfId="0" applyNumberFormat="1" applyFont="1" applyFill="1" applyBorder="1" applyAlignment="1" applyProtection="1">
      <alignment horizontal="center" wrapText="1"/>
      <protection/>
    </xf>
    <xf numFmtId="0" fontId="3" fillId="32" borderId="0" xfId="0" applyNumberFormat="1" applyFont="1" applyFill="1" applyBorder="1" applyAlignment="1" applyProtection="1">
      <alignment horizontal="center" wrapText="1"/>
      <protection/>
    </xf>
    <xf numFmtId="0" fontId="0" fillId="32" borderId="0" xfId="0" applyNumberFormat="1" applyFont="1" applyFill="1" applyBorder="1" applyAlignment="1" applyProtection="1">
      <alignment vertical="top"/>
      <protection/>
    </xf>
    <xf numFmtId="0" fontId="0" fillId="32" borderId="0" xfId="0" applyFont="1" applyFill="1" applyAlignment="1" applyProtection="1">
      <alignment/>
      <protection/>
    </xf>
    <xf numFmtId="0" fontId="0" fillId="32" borderId="96" xfId="0" applyFont="1" applyFill="1" applyBorder="1" applyAlignment="1" applyProtection="1">
      <alignment horizontal="center" vertical="top" wrapText="1"/>
      <protection/>
    </xf>
    <xf numFmtId="0" fontId="3" fillId="32" borderId="77" xfId="0" applyNumberFormat="1" applyFont="1" applyFill="1" applyBorder="1" applyAlignment="1" applyProtection="1">
      <alignment horizontal="center" vertical="center"/>
      <protection/>
    </xf>
    <xf numFmtId="0" fontId="0" fillId="32" borderId="11" xfId="0" applyNumberFormat="1" applyFont="1" applyFill="1" applyBorder="1" applyAlignment="1" applyProtection="1">
      <alignment vertical="center"/>
      <protection/>
    </xf>
    <xf numFmtId="0" fontId="0" fillId="32" borderId="0" xfId="0" applyNumberFormat="1" applyFont="1" applyFill="1" applyBorder="1" applyAlignment="1" applyProtection="1">
      <alignment vertical="center"/>
      <protection/>
    </xf>
    <xf numFmtId="0" fontId="0" fillId="32" borderId="11" xfId="0" applyNumberFormat="1" applyFont="1" applyFill="1" applyBorder="1" applyAlignment="1" applyProtection="1">
      <alignment horizontal="center" vertical="top"/>
      <protection/>
    </xf>
    <xf numFmtId="0" fontId="0" fillId="32" borderId="0" xfId="0" applyNumberFormat="1" applyFont="1" applyFill="1" applyBorder="1" applyAlignment="1" applyProtection="1">
      <alignment horizontal="center"/>
      <protection/>
    </xf>
    <xf numFmtId="0" fontId="0" fillId="32" borderId="11" xfId="0" applyNumberFormat="1" applyFont="1" applyFill="1" applyBorder="1" applyAlignment="1" applyProtection="1">
      <alignment vertical="top"/>
      <protection/>
    </xf>
    <xf numFmtId="0" fontId="3" fillId="32" borderId="0" xfId="0" applyNumberFormat="1" applyFont="1" applyFill="1" applyBorder="1" applyAlignment="1" applyProtection="1">
      <alignment horizontal="center"/>
      <protection/>
    </xf>
    <xf numFmtId="0" fontId="3" fillId="32" borderId="0" xfId="0" applyNumberFormat="1" applyFont="1" applyFill="1" applyBorder="1" applyAlignment="1" applyProtection="1">
      <alignment vertical="top"/>
      <protection/>
    </xf>
    <xf numFmtId="0" fontId="0" fillId="32" borderId="11" xfId="0" applyFont="1" applyFill="1" applyBorder="1" applyAlignment="1" applyProtection="1">
      <alignment/>
      <protection/>
    </xf>
    <xf numFmtId="0" fontId="0" fillId="32" borderId="99" xfId="0" applyNumberFormat="1" applyFont="1" applyFill="1" applyBorder="1" applyAlignment="1" applyProtection="1">
      <alignment horizontal="center" vertical="top"/>
      <protection/>
    </xf>
    <xf numFmtId="0" fontId="0" fillId="32" borderId="100" xfId="0" applyNumberFormat="1" applyFont="1" applyFill="1" applyBorder="1" applyAlignment="1" applyProtection="1">
      <alignment horizontal="center" vertical="top"/>
      <protection/>
    </xf>
    <xf numFmtId="0" fontId="0" fillId="32" borderId="101" xfId="0" applyNumberFormat="1" applyFont="1" applyFill="1" applyBorder="1" applyAlignment="1" applyProtection="1">
      <alignment horizontal="center" vertical="top"/>
      <protection/>
    </xf>
    <xf numFmtId="0" fontId="0" fillId="32" borderId="0" xfId="0" applyFont="1" applyFill="1" applyAlignment="1" applyProtection="1">
      <alignment wrapText="1"/>
      <protection/>
    </xf>
    <xf numFmtId="0" fontId="0" fillId="32" borderId="0" xfId="0" applyNumberFormat="1" applyFont="1" applyFill="1" applyBorder="1" applyAlignment="1" applyProtection="1">
      <alignment wrapText="1"/>
      <protection/>
    </xf>
    <xf numFmtId="0" fontId="0" fillId="32" borderId="37" xfId="0" applyFont="1" applyFill="1" applyBorder="1" applyAlignment="1" applyProtection="1">
      <alignment horizontal="center"/>
      <protection/>
    </xf>
    <xf numFmtId="0" fontId="3" fillId="32" borderId="77" xfId="0" applyFont="1" applyFill="1" applyBorder="1" applyAlignment="1" applyProtection="1">
      <alignment horizontal="center" vertical="center"/>
      <protection/>
    </xf>
    <xf numFmtId="0" fontId="3" fillId="32" borderId="37" xfId="0" applyNumberFormat="1" applyFont="1" applyFill="1" applyBorder="1" applyAlignment="1" applyProtection="1">
      <alignment horizontal="center" wrapText="1"/>
      <protection/>
    </xf>
    <xf numFmtId="0" fontId="0" fillId="32" borderId="11" xfId="0" applyFont="1" applyFill="1" applyBorder="1" applyAlignment="1" applyProtection="1">
      <alignment horizontal="center"/>
      <protection/>
    </xf>
    <xf numFmtId="195" fontId="0" fillId="28" borderId="102" xfId="0" applyNumberFormat="1" applyFont="1" applyFill="1" applyBorder="1" applyAlignment="1" applyProtection="1">
      <alignment vertical="center"/>
      <protection locked="0"/>
    </xf>
    <xf numFmtId="0" fontId="0" fillId="24" borderId="110" xfId="0" applyFill="1" applyBorder="1" applyAlignment="1" applyProtection="1">
      <alignment vertical="center"/>
      <protection/>
    </xf>
    <xf numFmtId="0" fontId="0" fillId="24" borderId="104" xfId="0" applyFill="1" applyBorder="1" applyAlignment="1" applyProtection="1">
      <alignment vertical="center"/>
      <protection/>
    </xf>
    <xf numFmtId="195" fontId="0" fillId="30" borderId="102" xfId="0" applyNumberFormat="1" applyFont="1" applyFill="1" applyBorder="1" applyAlignment="1" applyProtection="1">
      <alignment vertical="center"/>
      <protection/>
    </xf>
    <xf numFmtId="0" fontId="0" fillId="24" borderId="103" xfId="0" applyFill="1" applyBorder="1" applyAlignment="1" applyProtection="1">
      <alignment vertical="center"/>
      <protection/>
    </xf>
    <xf numFmtId="0" fontId="0" fillId="24" borderId="114" xfId="0" applyFill="1" applyBorder="1" applyAlignment="1" applyProtection="1">
      <alignment vertical="center"/>
      <protection/>
    </xf>
    <xf numFmtId="180" fontId="73" fillId="30" borderId="103" xfId="0" applyNumberFormat="1" applyFont="1" applyFill="1" applyBorder="1" applyAlignment="1" applyProtection="1">
      <alignment horizontal="center" vertical="center"/>
      <protection/>
    </xf>
    <xf numFmtId="195" fontId="0" fillId="28" borderId="115" xfId="0" applyNumberFormat="1" applyFont="1" applyFill="1" applyBorder="1" applyAlignment="1" applyProtection="1">
      <alignment vertical="center"/>
      <protection locked="0"/>
    </xf>
    <xf numFmtId="195" fontId="0" fillId="30" borderId="115" xfId="0" applyNumberFormat="1" applyFont="1" applyFill="1" applyBorder="1" applyAlignment="1" applyProtection="1">
      <alignment vertical="center"/>
      <protection/>
    </xf>
    <xf numFmtId="180" fontId="73" fillId="30" borderId="98" xfId="0" applyNumberFormat="1" applyFont="1" applyFill="1" applyBorder="1" applyAlignment="1" applyProtection="1">
      <alignment horizontal="center" vertical="center"/>
      <protection/>
    </xf>
    <xf numFmtId="195" fontId="0" fillId="28" borderId="116" xfId="0" applyNumberFormat="1" applyFont="1" applyFill="1" applyBorder="1" applyAlignment="1" applyProtection="1">
      <alignment vertical="center"/>
      <protection locked="0"/>
    </xf>
    <xf numFmtId="195" fontId="0" fillId="30" borderId="116" xfId="0" applyNumberFormat="1" applyFont="1" applyFill="1" applyBorder="1" applyAlignment="1" applyProtection="1">
      <alignment vertical="center"/>
      <protection/>
    </xf>
    <xf numFmtId="180" fontId="73" fillId="30" borderId="35" xfId="0" applyNumberFormat="1" applyFont="1" applyFill="1" applyBorder="1" applyAlignment="1" applyProtection="1">
      <alignment horizontal="center" vertical="center"/>
      <protection/>
    </xf>
    <xf numFmtId="195" fontId="0" fillId="28" borderId="117" xfId="0" applyNumberFormat="1" applyFont="1" applyFill="1" applyBorder="1" applyAlignment="1" applyProtection="1">
      <alignment vertical="center"/>
      <protection locked="0"/>
    </xf>
    <xf numFmtId="195" fontId="0" fillId="30" borderId="117" xfId="0" applyNumberFormat="1" applyFont="1" applyFill="1" applyBorder="1" applyAlignment="1" applyProtection="1">
      <alignment vertical="center"/>
      <protection/>
    </xf>
    <xf numFmtId="180" fontId="73" fillId="30" borderId="34" xfId="0" applyNumberFormat="1" applyFont="1" applyFill="1" applyBorder="1" applyAlignment="1" applyProtection="1">
      <alignment horizontal="center" vertical="center"/>
      <protection/>
    </xf>
    <xf numFmtId="195" fontId="0" fillId="28" borderId="118" xfId="0" applyNumberFormat="1" applyFont="1" applyFill="1" applyBorder="1" applyAlignment="1" applyProtection="1">
      <alignment vertical="center"/>
      <protection locked="0"/>
    </xf>
    <xf numFmtId="195" fontId="0" fillId="30" borderId="118" xfId="0" applyNumberFormat="1" applyFont="1" applyFill="1" applyBorder="1" applyAlignment="1" applyProtection="1">
      <alignment vertical="center"/>
      <protection/>
    </xf>
    <xf numFmtId="180" fontId="73" fillId="30" borderId="105" xfId="0" applyNumberFormat="1" applyFont="1" applyFill="1" applyBorder="1" applyAlignment="1" applyProtection="1">
      <alignment horizontal="center" vertical="center"/>
      <protection/>
    </xf>
    <xf numFmtId="0" fontId="0" fillId="24" borderId="20" xfId="0" applyFill="1" applyBorder="1" applyAlignment="1" applyProtection="1">
      <alignment vertical="center"/>
      <protection/>
    </xf>
    <xf numFmtId="0" fontId="74" fillId="24" borderId="0" xfId="0" applyFont="1" applyFill="1" applyAlignment="1" applyProtection="1">
      <alignment/>
      <protection/>
    </xf>
    <xf numFmtId="0" fontId="0" fillId="22" borderId="0" xfId="0" applyFont="1" applyFill="1" applyAlignment="1" applyProtection="1">
      <alignment/>
      <protection/>
    </xf>
    <xf numFmtId="0" fontId="0" fillId="22" borderId="0" xfId="0" applyFont="1" applyFill="1" applyBorder="1" applyAlignment="1" applyProtection="1">
      <alignment/>
      <protection/>
    </xf>
    <xf numFmtId="0" fontId="0" fillId="4" borderId="119" xfId="0" applyFont="1" applyFill="1" applyBorder="1" applyAlignment="1" applyProtection="1">
      <alignment/>
      <protection/>
    </xf>
    <xf numFmtId="3" fontId="0" fillId="30" borderId="36" xfId="0" applyNumberFormat="1" applyFont="1" applyFill="1" applyBorder="1" applyAlignment="1" applyProtection="1">
      <alignment horizontal="center" vertical="top"/>
      <protection/>
    </xf>
    <xf numFmtId="3" fontId="0" fillId="30" borderId="35" xfId="0" applyNumberFormat="1" applyFont="1" applyFill="1" applyBorder="1" applyAlignment="1" applyProtection="1">
      <alignment horizontal="center" vertical="top"/>
      <protection/>
    </xf>
    <xf numFmtId="3" fontId="0" fillId="30" borderId="34" xfId="0" applyNumberFormat="1" applyFont="1" applyFill="1" applyBorder="1" applyAlignment="1" applyProtection="1">
      <alignment horizontal="center" vertical="top"/>
      <protection/>
    </xf>
    <xf numFmtId="3" fontId="0" fillId="30" borderId="98" xfId="0" applyNumberFormat="1" applyFont="1" applyFill="1" applyBorder="1" applyAlignment="1" applyProtection="1">
      <alignment horizontal="center" vertical="center"/>
      <protection/>
    </xf>
    <xf numFmtId="3" fontId="0" fillId="30" borderId="35" xfId="0" applyNumberFormat="1" applyFont="1" applyFill="1" applyBorder="1" applyAlignment="1" applyProtection="1">
      <alignment horizontal="center" vertical="center"/>
      <protection/>
    </xf>
    <xf numFmtId="3" fontId="0" fillId="30" borderId="105" xfId="0" applyNumberFormat="1" applyFont="1" applyFill="1" applyBorder="1" applyAlignment="1" applyProtection="1">
      <alignment horizontal="center" vertical="center"/>
      <protection/>
    </xf>
    <xf numFmtId="3" fontId="0" fillId="30" borderId="36" xfId="0" applyNumberFormat="1" applyFont="1" applyFill="1" applyBorder="1" applyAlignment="1" applyProtection="1">
      <alignment horizontal="center" vertical="center"/>
      <protection/>
    </xf>
    <xf numFmtId="3" fontId="0" fillId="30" borderId="34" xfId="0" applyNumberFormat="1" applyFont="1" applyFill="1" applyBorder="1" applyAlignment="1" applyProtection="1">
      <alignment horizontal="center" vertical="center"/>
      <protection/>
    </xf>
    <xf numFmtId="0" fontId="0" fillId="32" borderId="0" xfId="0" applyFont="1" applyFill="1" applyAlignment="1" applyProtection="1">
      <alignment vertical="center"/>
      <protection/>
    </xf>
    <xf numFmtId="49" fontId="3" fillId="24" borderId="0" xfId="0" applyNumberFormat="1" applyFont="1" applyFill="1" applyBorder="1" applyAlignment="1" applyProtection="1">
      <alignment horizontal="center" vertical="top"/>
      <protection/>
    </xf>
    <xf numFmtId="0" fontId="0" fillId="32" borderId="11" xfId="0" applyNumberFormat="1" applyFont="1" applyFill="1" applyBorder="1" applyAlignment="1" applyProtection="1">
      <alignment horizontal="center" vertical="center"/>
      <protection/>
    </xf>
    <xf numFmtId="49" fontId="0" fillId="6" borderId="11" xfId="0" applyNumberFormat="1" applyFont="1" applyFill="1" applyBorder="1" applyAlignment="1" applyProtection="1">
      <alignment vertical="top"/>
      <protection/>
    </xf>
    <xf numFmtId="0" fontId="0" fillId="24" borderId="0" xfId="0" applyNumberFormat="1" applyFont="1" applyFill="1" applyBorder="1" applyAlignment="1" applyProtection="1">
      <alignment horizontal="right" vertical="top" indent="1"/>
      <protection/>
    </xf>
    <xf numFmtId="14" fontId="0" fillId="4" borderId="11" xfId="0" applyNumberFormat="1" applyFont="1" applyFill="1" applyBorder="1" applyAlignment="1" applyProtection="1">
      <alignment horizontal="center" vertical="top" wrapText="1"/>
      <protection/>
    </xf>
    <xf numFmtId="0" fontId="0" fillId="32" borderId="86" xfId="0" applyFont="1" applyFill="1" applyBorder="1" applyAlignment="1" applyProtection="1">
      <alignment/>
      <protection/>
    </xf>
    <xf numFmtId="0" fontId="0" fillId="32" borderId="99" xfId="0" applyFont="1" applyFill="1" applyBorder="1" applyAlignment="1" applyProtection="1">
      <alignment/>
      <protection/>
    </xf>
    <xf numFmtId="0" fontId="0" fillId="32" borderId="101" xfId="0" applyFont="1" applyFill="1" applyBorder="1" applyAlignment="1" applyProtection="1">
      <alignment/>
      <protection/>
    </xf>
    <xf numFmtId="0" fontId="0" fillId="32" borderId="0" xfId="0" applyNumberFormat="1" applyFont="1" applyFill="1" applyBorder="1" applyAlignment="1" applyProtection="1">
      <alignment vertical="center"/>
      <protection/>
    </xf>
    <xf numFmtId="0" fontId="0" fillId="32" borderId="0" xfId="0" applyFill="1" applyBorder="1" applyAlignment="1" applyProtection="1">
      <alignment/>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5" fillId="32" borderId="0" xfId="50" applyFill="1" applyBorder="1" applyAlignment="1" applyProtection="1">
      <alignment/>
      <protection/>
    </xf>
    <xf numFmtId="0" fontId="75" fillId="31" borderId="0" xfId="50" applyFont="1" applyFill="1" applyBorder="1" applyAlignment="1" applyProtection="1">
      <alignment horizontal="center" vertical="top"/>
      <protection/>
    </xf>
    <xf numFmtId="0" fontId="76" fillId="31" borderId="0" xfId="0" applyFont="1" applyFill="1" applyBorder="1" applyAlignment="1" applyProtection="1">
      <alignment horizontal="center" vertical="top"/>
      <protection/>
    </xf>
    <xf numFmtId="0" fontId="5" fillId="31" borderId="0" xfId="50" applyFill="1" applyBorder="1" applyAlignment="1" applyProtection="1">
      <alignment horizontal="center" vertical="top"/>
      <protection/>
    </xf>
    <xf numFmtId="0" fontId="0" fillId="31" borderId="0" xfId="0" applyFill="1" applyBorder="1" applyAlignment="1" applyProtection="1">
      <alignment vertical="top"/>
      <protection/>
    </xf>
    <xf numFmtId="0" fontId="40" fillId="24" borderId="0" xfId="0" applyNumberFormat="1" applyFont="1" applyFill="1" applyAlignment="1" applyProtection="1">
      <alignment horizontal="right" vertical="top" wrapText="1"/>
      <protection/>
    </xf>
    <xf numFmtId="0" fontId="75" fillId="31" borderId="0" xfId="0" applyFont="1" applyFill="1" applyAlignment="1" applyProtection="1">
      <alignment horizontal="center"/>
      <protection/>
    </xf>
    <xf numFmtId="0" fontId="0" fillId="32" borderId="0" xfId="0" applyFill="1" applyAlignment="1" applyProtection="1">
      <alignment/>
      <protection/>
    </xf>
    <xf numFmtId="180" fontId="0" fillId="33" borderId="79" xfId="0" applyNumberFormat="1" applyFont="1" applyFill="1" applyBorder="1" applyAlignment="1" applyProtection="1">
      <alignment vertical="top"/>
      <protection locked="0"/>
    </xf>
    <xf numFmtId="0" fontId="0" fillId="23" borderId="0" xfId="0" applyNumberFormat="1" applyFont="1" applyFill="1" applyBorder="1" applyAlignment="1" applyProtection="1">
      <alignment vertical="top"/>
      <protection/>
    </xf>
    <xf numFmtId="189" fontId="0" fillId="0" borderId="0" xfId="0" applyNumberFormat="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vertical="top"/>
      <protection/>
    </xf>
    <xf numFmtId="0" fontId="0" fillId="31" borderId="0" xfId="0" applyFont="1" applyFill="1" applyAlignment="1" applyProtection="1">
      <alignment/>
      <protection/>
    </xf>
    <xf numFmtId="0" fontId="0" fillId="31" borderId="0" xfId="0" applyFill="1" applyBorder="1" applyAlignment="1" applyProtection="1">
      <alignment/>
      <protection/>
    </xf>
    <xf numFmtId="0" fontId="0" fillId="31" borderId="0" xfId="0" applyFill="1" applyBorder="1" applyAlignment="1" applyProtection="1">
      <alignment/>
      <protection/>
    </xf>
    <xf numFmtId="0" fontId="0" fillId="31" borderId="0" xfId="0" applyNumberFormat="1" applyFont="1" applyFill="1" applyBorder="1" applyAlignment="1" applyProtection="1">
      <alignment vertical="top"/>
      <protection/>
    </xf>
    <xf numFmtId="0" fontId="0" fillId="31" borderId="0" xfId="0" applyFill="1" applyAlignment="1" applyProtection="1">
      <alignment/>
      <protection/>
    </xf>
    <xf numFmtId="0" fontId="0" fillId="31" borderId="0" xfId="0" applyNumberFormat="1" applyFont="1" applyFill="1" applyBorder="1" applyAlignment="1" applyProtection="1">
      <alignment vertical="center"/>
      <protection/>
    </xf>
    <xf numFmtId="0" fontId="0" fillId="31" borderId="0" xfId="0" applyNumberFormat="1" applyFont="1" applyFill="1" applyBorder="1" applyAlignment="1" applyProtection="1">
      <alignment vertical="center"/>
      <protection/>
    </xf>
    <xf numFmtId="0" fontId="0" fillId="31" borderId="0" xfId="0" applyNumberFormat="1" applyFont="1" applyFill="1" applyBorder="1" applyAlignment="1" applyProtection="1">
      <alignment wrapText="1"/>
      <protection/>
    </xf>
    <xf numFmtId="0" fontId="37" fillId="31" borderId="0" xfId="0" applyNumberFormat="1" applyFont="1" applyFill="1" applyBorder="1" applyAlignment="1" applyProtection="1">
      <alignment vertical="top"/>
      <protection/>
    </xf>
    <xf numFmtId="0" fontId="0" fillId="31" borderId="0" xfId="0" applyNumberFormat="1" applyFont="1" applyFill="1" applyBorder="1" applyAlignment="1" applyProtection="1">
      <alignment vertical="top"/>
      <protection/>
    </xf>
    <xf numFmtId="0" fontId="0" fillId="31" borderId="0" xfId="0" applyFont="1" applyFill="1" applyAlignment="1" applyProtection="1">
      <alignment/>
      <protection/>
    </xf>
    <xf numFmtId="3" fontId="0" fillId="33" borderId="36" xfId="0" applyNumberFormat="1" applyFont="1" applyFill="1" applyBorder="1" applyAlignment="1" applyProtection="1">
      <alignment horizontal="center" vertical="top"/>
      <protection locked="0"/>
    </xf>
    <xf numFmtId="3" fontId="0" fillId="33" borderId="35" xfId="0" applyNumberFormat="1" applyFont="1" applyFill="1" applyBorder="1" applyAlignment="1" applyProtection="1">
      <alignment horizontal="center" vertical="top"/>
      <protection locked="0"/>
    </xf>
    <xf numFmtId="3" fontId="0" fillId="33" borderId="34" xfId="0" applyNumberFormat="1" applyFont="1" applyFill="1" applyBorder="1" applyAlignment="1" applyProtection="1">
      <alignment horizontal="center" vertical="top"/>
      <protection locked="0"/>
    </xf>
    <xf numFmtId="0" fontId="1" fillId="0" borderId="0" xfId="72" applyProtection="1" quotePrefix="1">
      <alignment/>
      <protection/>
    </xf>
    <xf numFmtId="0" fontId="0" fillId="0" borderId="0" xfId="0" applyAlignment="1" applyProtection="1">
      <alignment vertical="top" wrapText="1"/>
      <protection/>
    </xf>
    <xf numFmtId="3" fontId="0" fillId="34" borderId="36" xfId="0" applyNumberFormat="1" applyFont="1" applyFill="1" applyBorder="1" applyAlignment="1" applyProtection="1">
      <alignment horizontal="center" vertical="top"/>
      <protection locked="0"/>
    </xf>
    <xf numFmtId="3" fontId="0" fillId="34" borderId="35" xfId="0" applyNumberFormat="1" applyFont="1" applyFill="1" applyBorder="1" applyAlignment="1" applyProtection="1">
      <alignment horizontal="center" vertical="top"/>
      <protection locked="0"/>
    </xf>
    <xf numFmtId="3" fontId="0" fillId="34" borderId="34" xfId="0" applyNumberFormat="1" applyFont="1" applyFill="1" applyBorder="1" applyAlignment="1" applyProtection="1">
      <alignment horizontal="center" vertical="top"/>
      <protection locked="0"/>
    </xf>
    <xf numFmtId="0" fontId="0" fillId="28" borderId="11" xfId="0" applyNumberFormat="1" applyFont="1" applyFill="1" applyBorder="1" applyAlignment="1" applyProtection="1">
      <alignment horizontal="center" vertical="top"/>
      <protection locked="0"/>
    </xf>
    <xf numFmtId="0" fontId="0" fillId="31" borderId="0" xfId="0" applyFont="1" applyFill="1" applyBorder="1" applyAlignment="1" applyProtection="1">
      <alignment horizontal="center" vertical="top" wrapText="1"/>
      <protection/>
    </xf>
    <xf numFmtId="14" fontId="0" fillId="32" borderId="86" xfId="0" applyNumberFormat="1" applyFont="1" applyFill="1" applyBorder="1" applyAlignment="1" applyProtection="1">
      <alignment horizontal="center" vertical="top"/>
      <protection/>
    </xf>
    <xf numFmtId="0" fontId="0" fillId="30" borderId="11" xfId="0" applyNumberFormat="1" applyFont="1" applyFill="1" applyBorder="1" applyAlignment="1" applyProtection="1">
      <alignment horizontal="center" vertical="top"/>
      <protection/>
    </xf>
    <xf numFmtId="0" fontId="22" fillId="0" borderId="10" xfId="72" applyFont="1" applyBorder="1" applyAlignment="1" applyProtection="1">
      <alignment wrapText="1"/>
      <protection/>
    </xf>
    <xf numFmtId="0" fontId="1" fillId="0" borderId="0" xfId="72" applyAlignment="1" applyProtection="1">
      <alignment wrapText="1"/>
      <protection/>
    </xf>
    <xf numFmtId="0" fontId="0" fillId="24" borderId="86" xfId="0" applyNumberFormat="1" applyFont="1" applyFill="1" applyBorder="1" applyAlignment="1" applyProtection="1">
      <alignment horizontal="left" vertical="top" wrapText="1"/>
      <protection/>
    </xf>
    <xf numFmtId="0" fontId="0" fillId="24" borderId="94" xfId="0" applyNumberFormat="1" applyFont="1" applyFill="1" applyBorder="1" applyAlignment="1" applyProtection="1">
      <alignment horizontal="left" vertical="top" wrapText="1"/>
      <protection/>
    </xf>
    <xf numFmtId="0" fontId="0" fillId="24" borderId="0" xfId="0" applyFont="1" applyFill="1" applyBorder="1" applyAlignment="1" applyProtection="1">
      <alignment horizontal="right" vertical="top" indent="1"/>
      <protection/>
    </xf>
    <xf numFmtId="0" fontId="0" fillId="32" borderId="11" xfId="0" applyNumberFormat="1" applyFont="1" applyFill="1" applyBorder="1" applyAlignment="1" applyProtection="1">
      <alignment horizontal="center" vertical="center"/>
      <protection/>
    </xf>
    <xf numFmtId="0" fontId="0" fillId="32" borderId="11" xfId="0" applyNumberFormat="1" applyFont="1" applyFill="1" applyBorder="1" applyAlignment="1" applyProtection="1">
      <alignment vertical="center"/>
      <protection/>
    </xf>
    <xf numFmtId="0" fontId="77" fillId="24" borderId="0" xfId="0" applyFont="1" applyFill="1" applyAlignment="1" applyProtection="1">
      <alignment horizontal="center" vertical="center"/>
      <protection/>
    </xf>
    <xf numFmtId="0" fontId="78" fillId="24" borderId="0" xfId="0" applyFont="1" applyFill="1" applyAlignment="1" applyProtection="1">
      <alignment/>
      <protection/>
    </xf>
    <xf numFmtId="0" fontId="78" fillId="24" borderId="10" xfId="0" applyNumberFormat="1" applyFont="1" applyFill="1" applyBorder="1" applyAlignment="1" applyProtection="1">
      <alignment vertical="top"/>
      <protection/>
    </xf>
    <xf numFmtId="0" fontId="79" fillId="24" borderId="37" xfId="0" applyNumberFormat="1" applyFont="1" applyFill="1" applyBorder="1" applyAlignment="1" applyProtection="1">
      <alignment vertical="top"/>
      <protection/>
    </xf>
    <xf numFmtId="0" fontId="78" fillId="24" borderId="20" xfId="0" applyNumberFormat="1" applyFont="1" applyFill="1" applyBorder="1" applyAlignment="1" applyProtection="1">
      <alignment horizontal="center" vertical="top"/>
      <protection/>
    </xf>
    <xf numFmtId="180" fontId="78" fillId="30" borderId="79" xfId="0" applyNumberFormat="1" applyFont="1" applyFill="1" applyBorder="1" applyAlignment="1" applyProtection="1">
      <alignment vertical="top"/>
      <protection/>
    </xf>
    <xf numFmtId="0" fontId="78" fillId="24" borderId="0" xfId="0" applyNumberFormat="1" applyFont="1" applyFill="1" applyBorder="1" applyAlignment="1" applyProtection="1">
      <alignment horizontal="center" vertical="top"/>
      <protection/>
    </xf>
    <xf numFmtId="180" fontId="78" fillId="30" borderId="98" xfId="0" applyNumberFormat="1" applyFont="1" applyFill="1" applyBorder="1" applyAlignment="1" applyProtection="1">
      <alignment vertical="top"/>
      <protection/>
    </xf>
    <xf numFmtId="180" fontId="78" fillId="30" borderId="35" xfId="0" applyNumberFormat="1" applyFont="1" applyFill="1" applyBorder="1" applyAlignment="1" applyProtection="1">
      <alignment vertical="top"/>
      <protection/>
    </xf>
    <xf numFmtId="0" fontId="78" fillId="24" borderId="10" xfId="0" applyNumberFormat="1" applyFont="1" applyFill="1" applyBorder="1" applyAlignment="1" applyProtection="1">
      <alignment horizontal="center" vertical="top"/>
      <protection/>
    </xf>
    <xf numFmtId="180" fontId="78" fillId="30" borderId="34" xfId="0" applyNumberFormat="1" applyFont="1" applyFill="1" applyBorder="1" applyAlignment="1" applyProtection="1">
      <alignment vertical="top"/>
      <protection/>
    </xf>
    <xf numFmtId="180" fontId="78" fillId="30" borderId="105" xfId="0" applyNumberFormat="1" applyFont="1" applyFill="1" applyBorder="1" applyAlignment="1" applyProtection="1">
      <alignment vertical="top"/>
      <protection/>
    </xf>
    <xf numFmtId="0" fontId="78" fillId="24" borderId="110" xfId="0" applyNumberFormat="1" applyFont="1" applyFill="1" applyBorder="1" applyAlignment="1" applyProtection="1">
      <alignment horizontal="center" vertical="top"/>
      <protection/>
    </xf>
    <xf numFmtId="180" fontId="78" fillId="30" borderId="103" xfId="0" applyNumberFormat="1" applyFont="1" applyFill="1" applyBorder="1" applyAlignment="1" applyProtection="1">
      <alignment vertical="top"/>
      <protection/>
    </xf>
    <xf numFmtId="0" fontId="78" fillId="24" borderId="0" xfId="0" applyNumberFormat="1" applyFont="1" applyFill="1" applyBorder="1" applyAlignment="1" applyProtection="1">
      <alignment vertical="top"/>
      <protection/>
    </xf>
    <xf numFmtId="180" fontId="79" fillId="4" borderId="37" xfId="0" applyNumberFormat="1" applyFont="1" applyFill="1" applyBorder="1" applyAlignment="1" applyProtection="1">
      <alignment vertical="top"/>
      <protection/>
    </xf>
    <xf numFmtId="0" fontId="78" fillId="24" borderId="0" xfId="0" applyFont="1" applyFill="1" applyBorder="1" applyAlignment="1" applyProtection="1">
      <alignment/>
      <protection/>
    </xf>
    <xf numFmtId="0" fontId="78" fillId="24" borderId="10" xfId="0" applyNumberFormat="1" applyFont="1" applyFill="1" applyBorder="1" applyAlignment="1" applyProtection="1">
      <alignment wrapText="1"/>
      <protection/>
    </xf>
    <xf numFmtId="0" fontId="79" fillId="24" borderId="37" xfId="0" applyNumberFormat="1" applyFont="1" applyFill="1" applyBorder="1" applyAlignment="1" applyProtection="1">
      <alignment horizontal="center" wrapText="1"/>
      <protection/>
    </xf>
    <xf numFmtId="0" fontId="79" fillId="0" borderId="0" xfId="0" applyNumberFormat="1" applyFont="1" applyFill="1" applyBorder="1" applyAlignment="1" applyProtection="1">
      <alignment horizontal="center" wrapText="1"/>
      <protection/>
    </xf>
    <xf numFmtId="0" fontId="79" fillId="24" borderId="0" xfId="0" applyFont="1" applyFill="1" applyAlignment="1" applyProtection="1">
      <alignment/>
      <protection/>
    </xf>
    <xf numFmtId="0" fontId="78" fillId="4" borderId="36" xfId="0" applyNumberFormat="1" applyFont="1" applyFill="1" applyBorder="1" applyAlignment="1" applyProtection="1">
      <alignment horizontal="center" vertical="top"/>
      <protection/>
    </xf>
    <xf numFmtId="3" fontId="78" fillId="30" borderId="36" xfId="0" applyNumberFormat="1" applyFont="1" applyFill="1" applyBorder="1" applyAlignment="1" applyProtection="1">
      <alignment horizontal="center" vertical="top"/>
      <protection/>
    </xf>
    <xf numFmtId="0" fontId="78" fillId="4" borderId="35" xfId="0" applyNumberFormat="1" applyFont="1" applyFill="1" applyBorder="1" applyAlignment="1" applyProtection="1">
      <alignment horizontal="center" vertical="top"/>
      <protection/>
    </xf>
    <xf numFmtId="3" fontId="78" fillId="30" borderId="35" xfId="0" applyNumberFormat="1" applyFont="1" applyFill="1" applyBorder="1" applyAlignment="1" applyProtection="1">
      <alignment horizontal="center" vertical="top"/>
      <protection/>
    </xf>
    <xf numFmtId="0" fontId="78" fillId="4" borderId="34" xfId="0" applyNumberFormat="1" applyFont="1" applyFill="1" applyBorder="1" applyAlignment="1" applyProtection="1">
      <alignment horizontal="center" vertical="top"/>
      <protection/>
    </xf>
    <xf numFmtId="3" fontId="78" fillId="30" borderId="34" xfId="0" applyNumberFormat="1" applyFont="1" applyFill="1" applyBorder="1" applyAlignment="1" applyProtection="1">
      <alignment horizontal="center" vertical="top"/>
      <protection/>
    </xf>
    <xf numFmtId="180" fontId="0" fillId="24" borderId="0" xfId="0" applyNumberFormat="1" applyFill="1" applyAlignment="1" applyProtection="1">
      <alignment/>
      <protection/>
    </xf>
    <xf numFmtId="10" fontId="0" fillId="24" borderId="0" xfId="0" applyNumberFormat="1" applyFill="1" applyAlignment="1" applyProtection="1">
      <alignment/>
      <protection/>
    </xf>
    <xf numFmtId="10" fontId="0" fillId="31" borderId="0" xfId="0" applyNumberFormat="1" applyFill="1" applyAlignment="1" applyProtection="1">
      <alignment/>
      <protection/>
    </xf>
    <xf numFmtId="185" fontId="0" fillId="24" borderId="0" xfId="0" applyNumberFormat="1" applyFill="1" applyAlignment="1" applyProtection="1">
      <alignment/>
      <protection/>
    </xf>
    <xf numFmtId="180" fontId="0" fillId="32" borderId="11" xfId="0" applyNumberFormat="1" applyFont="1" applyFill="1" applyBorder="1" applyAlignment="1" applyProtection="1">
      <alignment vertical="top"/>
      <protection/>
    </xf>
    <xf numFmtId="0" fontId="0" fillId="32" borderId="0" xfId="0" applyNumberFormat="1" applyFont="1" applyFill="1" applyBorder="1" applyAlignment="1" applyProtection="1">
      <alignment horizontal="right" vertical="top"/>
      <protection/>
    </xf>
    <xf numFmtId="0" fontId="1" fillId="11" borderId="11" xfId="72" applyFill="1" applyBorder="1" applyAlignment="1" applyProtection="1">
      <alignment horizontal="center" vertical="top"/>
      <protection/>
    </xf>
    <xf numFmtId="0" fontId="0" fillId="31" borderId="0" xfId="0" applyFill="1" applyAlignment="1" applyProtection="1">
      <alignment/>
      <protection/>
    </xf>
    <xf numFmtId="0" fontId="3" fillId="31" borderId="0" xfId="0" applyFont="1" applyFill="1" applyBorder="1" applyAlignment="1" applyProtection="1">
      <alignment vertical="top" wrapText="1"/>
      <protection/>
    </xf>
    <xf numFmtId="0" fontId="7" fillId="31" borderId="0" xfId="0" applyFont="1" applyFill="1" applyBorder="1" applyAlignment="1" applyProtection="1">
      <alignment vertical="top" wrapText="1"/>
      <protection/>
    </xf>
    <xf numFmtId="0" fontId="3" fillId="31" borderId="94" xfId="0" applyNumberFormat="1" applyFont="1" applyFill="1" applyBorder="1" applyAlignment="1" applyProtection="1">
      <alignment wrapText="1"/>
      <protection/>
    </xf>
    <xf numFmtId="0" fontId="5" fillId="24" borderId="0" xfId="50" applyFill="1" applyAlignment="1" applyProtection="1">
      <alignment horizontal="left" vertical="top"/>
      <protection/>
    </xf>
    <xf numFmtId="0" fontId="42" fillId="25" borderId="0" xfId="0" applyFont="1" applyFill="1" applyAlignment="1" applyProtection="1">
      <alignment/>
      <protection/>
    </xf>
    <xf numFmtId="0" fontId="35" fillId="25" borderId="0" xfId="0" applyFont="1" applyFill="1" applyAlignment="1" applyProtection="1">
      <alignment horizontal="left"/>
      <protection/>
    </xf>
    <xf numFmtId="0" fontId="0" fillId="25" borderId="0" xfId="0" applyNumberFormat="1" applyFont="1" applyFill="1" applyBorder="1" applyAlignment="1" applyProtection="1">
      <alignment horizontal="left" vertical="top"/>
      <protection/>
    </xf>
    <xf numFmtId="0" fontId="3" fillId="21" borderId="77" xfId="0" applyFont="1" applyFill="1" applyBorder="1" applyAlignment="1" applyProtection="1">
      <alignment horizontal="left"/>
      <protection/>
    </xf>
    <xf numFmtId="0" fontId="6" fillId="24" borderId="0" xfId="0" applyFont="1" applyFill="1" applyBorder="1" applyAlignment="1" applyProtection="1">
      <alignment horizontal="left" vertical="top"/>
      <protection/>
    </xf>
    <xf numFmtId="0" fontId="0" fillId="24" borderId="81" xfId="0" applyFill="1" applyBorder="1" applyAlignment="1" applyProtection="1">
      <alignment horizontal="left" vertical="top"/>
      <protection/>
    </xf>
    <xf numFmtId="0" fontId="0" fillId="24" borderId="38" xfId="0" applyFill="1" applyBorder="1" applyAlignment="1" applyProtection="1">
      <alignment horizontal="left" vertical="top"/>
      <protection/>
    </xf>
    <xf numFmtId="0" fontId="3" fillId="24" borderId="0" xfId="0" applyFont="1" applyFill="1" applyBorder="1" applyAlignment="1" applyProtection="1">
      <alignment horizontal="left" vertical="top"/>
      <protection/>
    </xf>
    <xf numFmtId="0" fontId="5" fillId="21" borderId="0" xfId="50" applyFill="1" applyAlignment="1" applyProtection="1">
      <alignment horizontal="left" vertical="top"/>
      <protection/>
    </xf>
    <xf numFmtId="0" fontId="0" fillId="24" borderId="120" xfId="0" applyNumberFormat="1" applyFont="1" applyFill="1" applyBorder="1" applyAlignment="1" applyProtection="1">
      <alignment horizontal="left" vertical="top" wrapText="1"/>
      <protection/>
    </xf>
    <xf numFmtId="0" fontId="7" fillId="24" borderId="0" xfId="0" applyFont="1" applyFill="1" applyAlignment="1" applyProtection="1">
      <alignment horizontal="left" vertical="top"/>
      <protection/>
    </xf>
    <xf numFmtId="0" fontId="0" fillId="24" borderId="95" xfId="0" applyNumberFormat="1" applyFont="1" applyFill="1" applyBorder="1" applyAlignment="1" applyProtection="1">
      <alignment horizontal="left" vertical="top"/>
      <protection/>
    </xf>
    <xf numFmtId="0" fontId="0" fillId="24" borderId="95" xfId="0" applyNumberFormat="1" applyFont="1" applyFill="1" applyBorder="1" applyAlignment="1" applyProtection="1">
      <alignment horizontal="left" vertical="top" wrapText="1"/>
      <protection/>
    </xf>
    <xf numFmtId="0" fontId="0" fillId="24" borderId="93" xfId="0" applyNumberFormat="1" applyFont="1" applyFill="1" applyBorder="1" applyAlignment="1" applyProtection="1">
      <alignment horizontal="left" vertical="center" wrapText="1"/>
      <protection/>
    </xf>
    <xf numFmtId="0" fontId="0" fillId="24" borderId="120" xfId="0" applyNumberFormat="1" applyFont="1" applyFill="1" applyBorder="1" applyAlignment="1" applyProtection="1">
      <alignment horizontal="left" vertical="center" wrapText="1"/>
      <protection/>
    </xf>
    <xf numFmtId="0" fontId="0" fillId="24" borderId="22" xfId="0" applyNumberFormat="1" applyFont="1" applyFill="1" applyBorder="1" applyAlignment="1" applyProtection="1">
      <alignment horizontal="left" vertical="center" wrapText="1"/>
      <protection/>
    </xf>
    <xf numFmtId="0" fontId="0" fillId="4" borderId="32" xfId="0" applyNumberFormat="1" applyFont="1" applyFill="1" applyBorder="1" applyAlignment="1" applyProtection="1">
      <alignment horizontal="left" vertical="top" wrapText="1"/>
      <protection/>
    </xf>
    <xf numFmtId="0" fontId="3" fillId="24" borderId="41" xfId="0" applyNumberFormat="1" applyFont="1" applyFill="1" applyBorder="1" applyAlignment="1" applyProtection="1">
      <alignment horizontal="left"/>
      <protection/>
    </xf>
    <xf numFmtId="0" fontId="51" fillId="24" borderId="0" xfId="0" applyFont="1" applyFill="1" applyAlignment="1" applyProtection="1">
      <alignment horizontal="left" vertical="top"/>
      <protection/>
    </xf>
    <xf numFmtId="0" fontId="3" fillId="24" borderId="10" xfId="0" applyNumberFormat="1" applyFont="1" applyFill="1" applyBorder="1" applyAlignment="1" applyProtection="1">
      <alignment horizontal="left" vertical="top"/>
      <protection/>
    </xf>
    <xf numFmtId="0" fontId="3" fillId="24" borderId="10" xfId="0" applyNumberFormat="1" applyFont="1" applyFill="1" applyBorder="1" applyAlignment="1" applyProtection="1">
      <alignment horizontal="left" vertical="top" indent="1"/>
      <protection/>
    </xf>
    <xf numFmtId="0" fontId="6" fillId="24" borderId="0" xfId="0" applyFont="1" applyFill="1" applyAlignment="1" applyProtection="1">
      <alignment horizontal="left" vertical="top"/>
      <protection/>
    </xf>
    <xf numFmtId="0" fontId="28" fillId="24" borderId="0" xfId="0" applyFont="1" applyFill="1" applyBorder="1" applyAlignment="1" applyProtection="1">
      <alignment horizontal="left" vertical="top"/>
      <protection/>
    </xf>
    <xf numFmtId="0" fontId="7" fillId="24" borderId="93" xfId="0" applyFont="1" applyFill="1" applyBorder="1" applyAlignment="1" applyProtection="1">
      <alignment horizontal="left" vertical="top"/>
      <protection/>
    </xf>
    <xf numFmtId="0" fontId="0" fillId="24" borderId="86" xfId="0" applyNumberFormat="1" applyFont="1" applyFill="1" applyBorder="1" applyAlignment="1" applyProtection="1">
      <alignment horizontal="left" vertical="top"/>
      <protection/>
    </xf>
    <xf numFmtId="0" fontId="0" fillId="24" borderId="11" xfId="0" applyNumberFormat="1" applyFont="1" applyFill="1" applyBorder="1" applyAlignment="1" applyProtection="1">
      <alignment horizontal="left" vertical="top"/>
      <protection/>
    </xf>
    <xf numFmtId="0" fontId="0" fillId="24" borderId="86" xfId="0" applyNumberFormat="1" applyFont="1" applyFill="1" applyBorder="1" applyAlignment="1" applyProtection="1">
      <alignment horizontal="left" vertical="top" indent="1"/>
      <protection/>
    </xf>
    <xf numFmtId="0" fontId="0" fillId="24" borderId="121" xfId="0" applyNumberFormat="1" applyFont="1" applyFill="1" applyBorder="1" applyAlignment="1" applyProtection="1">
      <alignment horizontal="left" vertical="top"/>
      <protection/>
    </xf>
    <xf numFmtId="0" fontId="0" fillId="28" borderId="0" xfId="0" applyNumberFormat="1" applyFont="1" applyFill="1" applyBorder="1" applyAlignment="1" applyProtection="1">
      <alignment vertical="top"/>
      <protection locked="0"/>
    </xf>
    <xf numFmtId="0" fontId="80" fillId="35" borderId="77" xfId="0" applyFont="1" applyFill="1" applyBorder="1" applyAlignment="1">
      <alignment wrapText="1"/>
    </xf>
    <xf numFmtId="0" fontId="81" fillId="35" borderId="59" xfId="0" applyFont="1" applyFill="1" applyBorder="1" applyAlignment="1">
      <alignment vertical="top" wrapText="1"/>
    </xf>
    <xf numFmtId="0" fontId="5" fillId="35" borderId="59" xfId="50" applyFill="1" applyBorder="1" applyAlignment="1" applyProtection="1">
      <alignment vertical="top"/>
      <protection/>
    </xf>
    <xf numFmtId="0" fontId="82" fillId="32" borderId="59" xfId="0" applyFont="1" applyFill="1" applyBorder="1" applyAlignment="1">
      <alignment vertical="top" wrapText="1"/>
    </xf>
    <xf numFmtId="0" fontId="0" fillId="35" borderId="59" xfId="0" applyFont="1" applyFill="1" applyBorder="1" applyAlignment="1">
      <alignment vertical="top" wrapText="1"/>
    </xf>
    <xf numFmtId="0" fontId="5" fillId="35" borderId="59" xfId="50" applyFill="1" applyBorder="1" applyAlignment="1" applyProtection="1">
      <alignment vertical="top" wrapText="1"/>
      <protection/>
    </xf>
    <xf numFmtId="0" fontId="5" fillId="36" borderId="59" xfId="50" applyFill="1" applyBorder="1" applyAlignment="1" applyProtection="1">
      <alignment vertical="top" wrapText="1"/>
      <protection/>
    </xf>
    <xf numFmtId="0" fontId="5" fillId="36" borderId="59" xfId="50" applyFill="1" applyBorder="1" applyAlignment="1" applyProtection="1">
      <alignment/>
      <protection/>
    </xf>
    <xf numFmtId="0" fontId="6" fillId="35" borderId="59" xfId="0" applyFont="1" applyFill="1" applyBorder="1" applyAlignment="1">
      <alignment vertical="top" wrapText="1"/>
    </xf>
    <xf numFmtId="0" fontId="83" fillId="35" borderId="59" xfId="0" applyFont="1" applyFill="1" applyBorder="1" applyAlignment="1">
      <alignment vertical="top" wrapText="1"/>
    </xf>
    <xf numFmtId="0" fontId="84" fillId="37" borderId="59" xfId="0" applyFont="1" applyFill="1" applyBorder="1" applyAlignment="1">
      <alignment vertical="top" wrapText="1"/>
    </xf>
    <xf numFmtId="0" fontId="85" fillId="35" borderId="59" xfId="0" applyFont="1" applyFill="1" applyBorder="1" applyAlignment="1">
      <alignment vertical="top" wrapText="1"/>
    </xf>
    <xf numFmtId="0" fontId="3" fillId="35" borderId="59" xfId="0" applyFont="1" applyFill="1" applyBorder="1" applyAlignment="1">
      <alignment vertical="top" wrapText="1"/>
    </xf>
    <xf numFmtId="0" fontId="86" fillId="35" borderId="59" xfId="0" applyFont="1" applyFill="1" applyBorder="1" applyAlignment="1">
      <alignment vertical="top" wrapText="1"/>
    </xf>
    <xf numFmtId="0" fontId="87" fillId="35" borderId="59" xfId="0" applyFont="1" applyFill="1" applyBorder="1" applyAlignment="1">
      <alignment vertical="top" wrapText="1"/>
    </xf>
    <xf numFmtId="0" fontId="3" fillId="35" borderId="59" xfId="0" applyFont="1" applyFill="1" applyBorder="1" applyAlignment="1">
      <alignment wrapText="1"/>
    </xf>
    <xf numFmtId="0" fontId="3" fillId="35" borderId="59" xfId="0" applyFont="1" applyFill="1" applyBorder="1" applyAlignment="1">
      <alignment/>
    </xf>
    <xf numFmtId="0" fontId="84" fillId="37" borderId="59" xfId="0" applyFont="1" applyFill="1" applyBorder="1" applyAlignment="1">
      <alignment wrapText="1"/>
    </xf>
    <xf numFmtId="0" fontId="3" fillId="0" borderId="59" xfId="0" applyFont="1" applyBorder="1" applyAlignment="1">
      <alignment/>
    </xf>
    <xf numFmtId="0" fontId="3" fillId="36" borderId="59" xfId="0" applyFont="1" applyFill="1" applyBorder="1" applyAlignment="1">
      <alignment wrapText="1"/>
    </xf>
    <xf numFmtId="0" fontId="85" fillId="35" borderId="59" xfId="0" applyFont="1" applyFill="1" applyBorder="1" applyAlignment="1">
      <alignment wrapText="1"/>
    </xf>
    <xf numFmtId="0" fontId="3" fillId="35" borderId="59" xfId="0" applyFont="1" applyFill="1" applyBorder="1" applyAlignment="1">
      <alignment vertical="top"/>
    </xf>
    <xf numFmtId="0" fontId="0" fillId="35" borderId="59" xfId="0" applyFont="1" applyFill="1" applyBorder="1" applyAlignment="1">
      <alignment/>
    </xf>
    <xf numFmtId="0" fontId="0" fillId="35" borderId="59" xfId="0" applyFont="1" applyFill="1" applyBorder="1" applyAlignment="1">
      <alignment vertical="top"/>
    </xf>
    <xf numFmtId="0" fontId="83" fillId="35" borderId="59" xfId="0" applyFont="1" applyFill="1" applyBorder="1" applyAlignment="1">
      <alignment vertical="top"/>
    </xf>
    <xf numFmtId="0" fontId="86" fillId="35" borderId="59" xfId="0" applyFont="1" applyFill="1" applyBorder="1" applyAlignment="1">
      <alignment vertical="top"/>
    </xf>
    <xf numFmtId="0" fontId="88" fillId="35" borderId="59" xfId="0" applyFont="1" applyFill="1" applyBorder="1" applyAlignment="1">
      <alignment vertical="top" wrapText="1"/>
    </xf>
    <xf numFmtId="0" fontId="85" fillId="35" borderId="59" xfId="0" applyFont="1" applyFill="1" applyBorder="1" applyAlignment="1">
      <alignment vertical="top"/>
    </xf>
    <xf numFmtId="0" fontId="83" fillId="35" borderId="59" xfId="0" applyFont="1" applyFill="1" applyBorder="1" applyAlignment="1">
      <alignment wrapText="1"/>
    </xf>
    <xf numFmtId="0" fontId="84" fillId="37" borderId="59" xfId="0" applyFont="1" applyFill="1" applyBorder="1" applyAlignment="1">
      <alignment/>
    </xf>
    <xf numFmtId="0" fontId="38" fillId="38" borderId="59" xfId="0" applyFont="1" applyFill="1" applyBorder="1" applyAlignment="1">
      <alignment horizontal="left" wrapText="1" indent="1"/>
    </xf>
    <xf numFmtId="0" fontId="76" fillId="35" borderId="59" xfId="0" applyFont="1" applyFill="1" applyBorder="1" applyAlignment="1">
      <alignment/>
    </xf>
    <xf numFmtId="0" fontId="0" fillId="32" borderId="59" xfId="0" applyFont="1" applyFill="1" applyBorder="1" applyAlignment="1">
      <alignment/>
    </xf>
    <xf numFmtId="0" fontId="0" fillId="32" borderId="59" xfId="0" applyFont="1" applyFill="1" applyBorder="1" applyAlignment="1">
      <alignment vertical="top"/>
    </xf>
    <xf numFmtId="0" fontId="85" fillId="35" borderId="16" xfId="0" applyFont="1" applyFill="1" applyBorder="1" applyAlignment="1">
      <alignment vertical="center" wrapText="1"/>
    </xf>
    <xf numFmtId="0" fontId="85" fillId="35" borderId="0" xfId="0" applyFont="1" applyFill="1" applyAlignment="1">
      <alignment vertical="center" wrapText="1"/>
    </xf>
    <xf numFmtId="0" fontId="89" fillId="0" borderId="0" xfId="0" applyFont="1" applyAlignment="1">
      <alignment vertical="center" wrapText="1"/>
    </xf>
    <xf numFmtId="0" fontId="84" fillId="37" borderId="0" xfId="0" applyFont="1" applyFill="1" applyAlignment="1">
      <alignment vertical="center" wrapText="1"/>
    </xf>
    <xf numFmtId="0" fontId="80" fillId="35" borderId="0" xfId="0" applyFont="1" applyFill="1" applyAlignment="1">
      <alignment vertical="center" wrapText="1"/>
    </xf>
    <xf numFmtId="0" fontId="90" fillId="35" borderId="0" xfId="0" applyFont="1" applyFill="1" applyAlignment="1">
      <alignment vertical="center" wrapText="1"/>
    </xf>
    <xf numFmtId="0" fontId="81" fillId="35" borderId="0" xfId="0" applyFont="1" applyFill="1" applyAlignment="1">
      <alignment vertical="center" wrapText="1"/>
    </xf>
    <xf numFmtId="0" fontId="3" fillId="35" borderId="0" xfId="0" applyFont="1" applyFill="1" applyAlignment="1">
      <alignment vertical="center" wrapText="1"/>
    </xf>
    <xf numFmtId="0" fontId="83" fillId="35" borderId="0" xfId="0" applyFont="1" applyFill="1" applyAlignment="1">
      <alignment vertical="center" wrapText="1"/>
    </xf>
    <xf numFmtId="0" fontId="86" fillId="35" borderId="0" xfId="0" applyFont="1" applyFill="1" applyAlignment="1">
      <alignment vertical="center" wrapText="1"/>
    </xf>
    <xf numFmtId="0" fontId="3" fillId="35" borderId="20" xfId="0" applyFont="1" applyFill="1" applyBorder="1" applyAlignment="1">
      <alignment vertical="center" wrapText="1"/>
    </xf>
    <xf numFmtId="0" fontId="3" fillId="35" borderId="65" xfId="0" applyFont="1" applyFill="1" applyBorder="1" applyAlignment="1">
      <alignment vertical="center" wrapText="1"/>
    </xf>
    <xf numFmtId="0" fontId="3" fillId="36" borderId="40" xfId="0" applyFont="1" applyFill="1" applyBorder="1" applyAlignment="1">
      <alignment vertical="center" wrapText="1"/>
    </xf>
    <xf numFmtId="0" fontId="6" fillId="35" borderId="0" xfId="0" applyFont="1" applyFill="1" applyAlignment="1">
      <alignment vertical="center" wrapText="1"/>
    </xf>
    <xf numFmtId="0" fontId="3" fillId="35" borderId="39" xfId="0" applyFont="1" applyFill="1" applyBorder="1" applyAlignment="1">
      <alignment vertical="center" wrapText="1"/>
    </xf>
    <xf numFmtId="0" fontId="3" fillId="35" borderId="21" xfId="0" applyFont="1" applyFill="1" applyBorder="1" applyAlignment="1">
      <alignment vertical="center" wrapText="1"/>
    </xf>
    <xf numFmtId="0" fontId="3" fillId="36" borderId="39" xfId="0" applyFont="1" applyFill="1" applyBorder="1" applyAlignment="1">
      <alignment vertical="center" wrapText="1"/>
    </xf>
    <xf numFmtId="0" fontId="3" fillId="35" borderId="0" xfId="0" applyFont="1" applyFill="1" applyAlignment="1">
      <alignment horizontal="center" vertical="center" wrapText="1"/>
    </xf>
    <xf numFmtId="0" fontId="0" fillId="32" borderId="0" xfId="0" applyFont="1" applyFill="1" applyAlignment="1">
      <alignment vertical="center"/>
    </xf>
    <xf numFmtId="0" fontId="0" fillId="0" borderId="0" xfId="0" applyFont="1" applyAlignment="1">
      <alignment vertical="center"/>
    </xf>
    <xf numFmtId="0" fontId="91" fillId="0" borderId="0" xfId="0" applyFont="1" applyAlignment="1">
      <alignment vertical="center" wrapText="1"/>
    </xf>
    <xf numFmtId="0" fontId="82" fillId="32" borderId="0" xfId="0" applyFont="1" applyFill="1" applyAlignment="1">
      <alignment vertical="center" wrapText="1"/>
    </xf>
    <xf numFmtId="0" fontId="0" fillId="32" borderId="0" xfId="0" applyFont="1" applyFill="1" applyAlignment="1">
      <alignment vertical="center" wrapText="1"/>
    </xf>
    <xf numFmtId="0" fontId="0" fillId="32" borderId="11" xfId="0" applyNumberFormat="1" applyFont="1" applyFill="1" applyBorder="1" applyAlignment="1" applyProtection="1">
      <alignment vertical="top"/>
      <protection/>
    </xf>
    <xf numFmtId="0" fontId="5" fillId="20" borderId="85" xfId="50" applyFill="1" applyBorder="1" applyAlignment="1" applyProtection="1">
      <alignment horizontal="left" vertical="top" wrapText="1"/>
      <protection/>
    </xf>
    <xf numFmtId="0" fontId="5" fillId="20" borderId="0" xfId="50" applyFill="1" applyAlignment="1" applyProtection="1">
      <alignment horizontal="left" vertical="top" wrapText="1"/>
      <protection/>
    </xf>
    <xf numFmtId="0" fontId="0" fillId="23" borderId="0" xfId="0" applyNumberFormat="1" applyFont="1" applyFill="1" applyBorder="1" applyAlignment="1" applyProtection="1">
      <alignment vertical="top"/>
      <protection locked="0"/>
    </xf>
    <xf numFmtId="0" fontId="0" fillId="32" borderId="64" xfId="0" applyNumberFormat="1" applyFont="1" applyFill="1" applyBorder="1" applyAlignment="1" applyProtection="1">
      <alignment horizontal="center" vertical="top"/>
      <protection/>
    </xf>
    <xf numFmtId="0" fontId="0" fillId="32" borderId="122" xfId="0" applyNumberFormat="1" applyFont="1" applyFill="1" applyBorder="1" applyAlignment="1" applyProtection="1">
      <alignment horizontal="center" vertical="top"/>
      <protection/>
    </xf>
    <xf numFmtId="0" fontId="0" fillId="32" borderId="121" xfId="0" applyNumberFormat="1" applyFont="1" applyFill="1" applyBorder="1" applyAlignment="1" applyProtection="1">
      <alignment horizontal="center" vertical="top"/>
      <protection/>
    </xf>
    <xf numFmtId="0" fontId="0" fillId="32" borderId="66" xfId="0" applyNumberFormat="1" applyFont="1" applyFill="1" applyBorder="1" applyAlignment="1" applyProtection="1">
      <alignment horizontal="center" vertical="top"/>
      <protection/>
    </xf>
    <xf numFmtId="0" fontId="5" fillId="31" borderId="0" xfId="50" applyFill="1" applyAlignment="1" applyProtection="1">
      <alignment/>
      <protection/>
    </xf>
    <xf numFmtId="0" fontId="75" fillId="31" borderId="0" xfId="0" applyFont="1" applyFill="1" applyAlignment="1" applyProtection="1">
      <alignment/>
      <protection/>
    </xf>
    <xf numFmtId="0" fontId="30" fillId="21" borderId="77" xfId="50" applyFont="1" applyFill="1" applyBorder="1" applyAlignment="1" applyProtection="1">
      <alignment horizontal="center" vertical="top" wrapText="1"/>
      <protection/>
    </xf>
    <xf numFmtId="0" fontId="30" fillId="0" borderId="77" xfId="50" applyFont="1" applyBorder="1" applyAlignment="1" applyProtection="1">
      <alignment horizontal="center" vertical="top" wrapText="1"/>
      <protection/>
    </xf>
    <xf numFmtId="0" fontId="0" fillId="21" borderId="40" xfId="0" applyFill="1" applyBorder="1" applyAlignment="1" applyProtection="1">
      <alignment horizontal="center" vertical="top" wrapText="1"/>
      <protection/>
    </xf>
    <xf numFmtId="0" fontId="0" fillId="21" borderId="16" xfId="0" applyFill="1" applyBorder="1" applyAlignment="1" applyProtection="1">
      <alignment horizontal="center" vertical="top" wrapText="1"/>
      <protection/>
    </xf>
    <xf numFmtId="0" fontId="54" fillId="24" borderId="0" xfId="0" applyFont="1" applyFill="1" applyBorder="1" applyAlignment="1" applyProtection="1">
      <alignment wrapText="1"/>
      <protection/>
    </xf>
    <xf numFmtId="0" fontId="0" fillId="0" borderId="0" xfId="0" applyFont="1" applyAlignment="1" applyProtection="1">
      <alignment wrapText="1"/>
      <protection/>
    </xf>
    <xf numFmtId="0" fontId="0" fillId="21" borderId="0" xfId="0" applyFill="1" applyBorder="1" applyAlignment="1" applyProtection="1">
      <alignment horizontal="center" vertical="top" wrapText="1"/>
      <protection/>
    </xf>
    <xf numFmtId="0" fontId="0" fillId="31" borderId="0" xfId="0" applyFill="1" applyAlignment="1" applyProtection="1">
      <alignment/>
      <protection/>
    </xf>
    <xf numFmtId="0" fontId="0" fillId="21" borderId="123" xfId="0" applyFill="1" applyBorder="1" applyAlignment="1" applyProtection="1">
      <alignment horizontal="center" vertical="center" wrapText="1"/>
      <protection/>
    </xf>
    <xf numFmtId="0" fontId="0" fillId="0" borderId="124"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21" borderId="39" xfId="0" applyFill="1" applyBorder="1" applyAlignment="1" applyProtection="1">
      <alignment horizontal="center" vertical="top" wrapText="1"/>
      <protection/>
    </xf>
    <xf numFmtId="0" fontId="30" fillId="21" borderId="40" xfId="50" applyFont="1" applyFill="1" applyBorder="1" applyAlignment="1" applyProtection="1">
      <alignment horizontal="center" vertical="top" wrapText="1"/>
      <protection/>
    </xf>
    <xf numFmtId="0" fontId="30" fillId="21" borderId="16" xfId="50" applyFont="1" applyFill="1" applyBorder="1" applyAlignment="1" applyProtection="1">
      <alignment horizontal="center" vertical="top" wrapText="1"/>
      <protection/>
    </xf>
    <xf numFmtId="0" fontId="30" fillId="0" borderId="17" xfId="50" applyFont="1" applyBorder="1" applyAlignment="1" applyProtection="1">
      <alignment horizontal="center" vertical="top" wrapText="1"/>
      <protection/>
    </xf>
    <xf numFmtId="0" fontId="30" fillId="21" borderId="39" xfId="50" applyFont="1" applyFill="1" applyBorder="1" applyAlignment="1" applyProtection="1">
      <alignment horizontal="center" vertical="top" wrapText="1"/>
      <protection/>
    </xf>
    <xf numFmtId="0" fontId="30" fillId="21" borderId="0" xfId="50" applyFont="1" applyFill="1" applyBorder="1" applyAlignment="1" applyProtection="1">
      <alignment horizontal="center" vertical="top" wrapText="1"/>
      <protection/>
    </xf>
    <xf numFmtId="0" fontId="30" fillId="0" borderId="19" xfId="50" applyFont="1" applyBorder="1" applyAlignment="1" applyProtection="1">
      <alignment horizontal="center" vertical="top" wrapText="1"/>
      <protection/>
    </xf>
    <xf numFmtId="0" fontId="3" fillId="31" borderId="0" xfId="50" applyFont="1" applyFill="1" applyBorder="1" applyAlignment="1" applyProtection="1">
      <alignment vertical="top" wrapText="1"/>
      <protection/>
    </xf>
    <xf numFmtId="0" fontId="3" fillId="31" borderId="0" xfId="0" applyFont="1" applyFill="1" applyBorder="1" applyAlignment="1" applyProtection="1">
      <alignment vertical="top"/>
      <protection/>
    </xf>
    <xf numFmtId="0" fontId="3" fillId="31" borderId="0" xfId="50" applyFont="1" applyFill="1" applyBorder="1" applyAlignment="1" applyProtection="1">
      <alignment vertical="top"/>
      <protection/>
    </xf>
    <xf numFmtId="0" fontId="0" fillId="24" borderId="12" xfId="0" applyFill="1" applyBorder="1" applyAlignment="1" applyProtection="1">
      <alignment horizontal="center" vertical="top" wrapText="1"/>
      <protection/>
    </xf>
    <xf numFmtId="0" fontId="0" fillId="0" borderId="12" xfId="0" applyBorder="1" applyAlignment="1" applyProtection="1">
      <alignment vertical="top" wrapText="1"/>
      <protection/>
    </xf>
    <xf numFmtId="0" fontId="3" fillId="31" borderId="0" xfId="0" applyFont="1" applyFill="1" applyBorder="1" applyAlignment="1" applyProtection="1">
      <alignment vertical="top" wrapText="1"/>
      <protection/>
    </xf>
    <xf numFmtId="0" fontId="0" fillId="24" borderId="0" xfId="0" applyFont="1" applyFill="1" applyBorder="1" applyAlignment="1" applyProtection="1">
      <alignment vertical="top" wrapText="1"/>
      <protection/>
    </xf>
    <xf numFmtId="0" fontId="40" fillId="24" borderId="0" xfId="0" applyNumberFormat="1" applyFont="1" applyFill="1" applyAlignment="1" applyProtection="1">
      <alignment horizontal="left" vertical="top" wrapText="1"/>
      <protection/>
    </xf>
    <xf numFmtId="0" fontId="5" fillId="21" borderId="0" xfId="50" applyFill="1" applyAlignment="1" applyProtection="1">
      <alignment horizontal="left" vertical="top" wrapText="1"/>
      <protection/>
    </xf>
    <xf numFmtId="0" fontId="0" fillId="21" borderId="0" xfId="0" applyFill="1" applyAlignment="1" applyProtection="1">
      <alignment horizontal="left" vertical="top" wrapText="1"/>
      <protection/>
    </xf>
    <xf numFmtId="0" fontId="0" fillId="32" borderId="125" xfId="0" applyNumberFormat="1" applyFont="1" applyFill="1" applyBorder="1" applyAlignment="1" applyProtection="1">
      <alignment horizontal="center" vertical="top"/>
      <protection/>
    </xf>
    <xf numFmtId="0" fontId="0" fillId="32" borderId="111" xfId="0" applyNumberFormat="1" applyFont="1" applyFill="1" applyBorder="1" applyAlignment="1" applyProtection="1">
      <alignment horizontal="center" vertical="top"/>
      <protection/>
    </xf>
    <xf numFmtId="0" fontId="0" fillId="32" borderId="114" xfId="0" applyNumberFormat="1" applyFont="1" applyFill="1" applyBorder="1" applyAlignment="1" applyProtection="1">
      <alignment horizontal="center" vertical="top"/>
      <protection/>
    </xf>
    <xf numFmtId="0" fontId="0" fillId="32" borderId="126" xfId="0" applyNumberFormat="1" applyFont="1" applyFill="1" applyBorder="1" applyAlignment="1" applyProtection="1">
      <alignment horizontal="center" vertical="top"/>
      <protection/>
    </xf>
    <xf numFmtId="0" fontId="0" fillId="24" borderId="0" xfId="0" applyFont="1" applyFill="1" applyAlignment="1" applyProtection="1">
      <alignment vertical="top" wrapText="1"/>
      <protection/>
    </xf>
    <xf numFmtId="0" fontId="0" fillId="24" borderId="0" xfId="0" applyFill="1" applyAlignment="1" applyProtection="1">
      <alignment vertical="top" wrapText="1"/>
      <protection/>
    </xf>
    <xf numFmtId="0" fontId="0" fillId="32" borderId="127" xfId="0" applyNumberFormat="1" applyFont="1" applyFill="1" applyBorder="1" applyAlignment="1" applyProtection="1">
      <alignment horizontal="center" vertical="top"/>
      <protection/>
    </xf>
    <xf numFmtId="0" fontId="0" fillId="32" borderId="27" xfId="0" applyNumberFormat="1" applyFont="1" applyFill="1" applyBorder="1" applyAlignment="1" applyProtection="1">
      <alignment horizontal="center" vertical="top"/>
      <protection/>
    </xf>
    <xf numFmtId="0" fontId="0" fillId="32" borderId="128" xfId="0" applyNumberFormat="1" applyFont="1" applyFill="1" applyBorder="1" applyAlignment="1" applyProtection="1">
      <alignment horizontal="center" vertical="top"/>
      <protection/>
    </xf>
    <xf numFmtId="0" fontId="0" fillId="32" borderId="23" xfId="0" applyNumberFormat="1" applyFont="1" applyFill="1" applyBorder="1" applyAlignment="1" applyProtection="1">
      <alignment horizontal="center" vertical="top"/>
      <protection/>
    </xf>
    <xf numFmtId="0" fontId="5" fillId="24" borderId="0" xfId="50" applyFill="1" applyAlignment="1" applyProtection="1">
      <alignment vertical="top" wrapText="1"/>
      <protection/>
    </xf>
    <xf numFmtId="0" fontId="5" fillId="0" borderId="0" xfId="50" applyAlignment="1" applyProtection="1">
      <alignment vertical="top" wrapText="1"/>
      <protection/>
    </xf>
    <xf numFmtId="0" fontId="0" fillId="0" borderId="0" xfId="0" applyAlignment="1" applyProtection="1">
      <alignment horizontal="left" vertical="top" wrapText="1"/>
      <protection/>
    </xf>
    <xf numFmtId="0" fontId="0" fillId="0" borderId="0" xfId="0" applyAlignment="1" applyProtection="1">
      <alignment vertical="top" wrapText="1"/>
      <protection/>
    </xf>
    <xf numFmtId="0" fontId="31" fillId="24" borderId="0" xfId="0" applyNumberFormat="1" applyFont="1" applyFill="1" applyAlignment="1" applyProtection="1">
      <alignment horizontal="left" vertical="top" wrapText="1"/>
      <protection/>
    </xf>
    <xf numFmtId="0" fontId="31" fillId="0" borderId="0" xfId="0" applyFont="1" applyAlignment="1" applyProtection="1">
      <alignment horizontal="left" vertical="top" wrapText="1"/>
      <protection/>
    </xf>
    <xf numFmtId="0" fontId="2" fillId="26" borderId="0" xfId="0" applyFont="1" applyFill="1" applyBorder="1" applyAlignment="1" applyProtection="1">
      <alignment vertical="top" wrapText="1"/>
      <protection/>
    </xf>
    <xf numFmtId="0" fontId="3" fillId="24" borderId="0" xfId="0" applyFont="1" applyFill="1" applyAlignment="1" applyProtection="1">
      <alignment vertical="top" wrapText="1"/>
      <protection/>
    </xf>
    <xf numFmtId="0" fontId="0" fillId="20" borderId="85" xfId="0" applyFill="1" applyBorder="1" applyAlignment="1" applyProtection="1">
      <alignment horizontal="center" vertical="center" wrapText="1"/>
      <protection/>
    </xf>
    <xf numFmtId="0" fontId="0" fillId="20" borderId="12" xfId="0" applyFill="1" applyBorder="1" applyAlignment="1" applyProtection="1">
      <alignment horizontal="center" vertical="center" wrapText="1"/>
      <protection/>
    </xf>
    <xf numFmtId="0" fontId="0" fillId="20" borderId="129" xfId="0" applyFill="1" applyBorder="1" applyAlignment="1" applyProtection="1">
      <alignment horizontal="center" vertical="center" wrapText="1"/>
      <protection/>
    </xf>
    <xf numFmtId="0" fontId="0" fillId="20" borderId="88" xfId="0" applyFill="1" applyBorder="1" applyAlignment="1" applyProtection="1">
      <alignment horizontal="center" vertical="center" wrapText="1"/>
      <protection/>
    </xf>
    <xf numFmtId="0" fontId="0" fillId="20" borderId="0" xfId="0" applyFill="1" applyBorder="1" applyAlignment="1" applyProtection="1">
      <alignment horizontal="center" vertical="center" wrapText="1"/>
      <protection/>
    </xf>
    <xf numFmtId="0" fontId="0" fillId="20" borderId="28" xfId="0" applyFill="1" applyBorder="1" applyAlignment="1" applyProtection="1">
      <alignment horizontal="center" vertical="center" wrapText="1"/>
      <protection/>
    </xf>
    <xf numFmtId="0" fontId="0" fillId="20" borderId="94" xfId="0" applyFill="1" applyBorder="1" applyAlignment="1" applyProtection="1">
      <alignment horizontal="center" vertical="center" wrapText="1"/>
      <protection/>
    </xf>
    <xf numFmtId="0" fontId="0" fillId="20" borderId="10" xfId="0" applyFill="1" applyBorder="1" applyAlignment="1" applyProtection="1">
      <alignment horizontal="center" vertical="center" wrapText="1"/>
      <protection/>
    </xf>
    <xf numFmtId="0" fontId="0" fillId="20" borderId="41" xfId="0" applyFill="1" applyBorder="1" applyAlignment="1" applyProtection="1">
      <alignment horizontal="center" vertical="center" wrapText="1"/>
      <protection/>
    </xf>
    <xf numFmtId="0" fontId="0" fillId="20" borderId="0" xfId="0" applyFill="1" applyAlignment="1" applyProtection="1">
      <alignment horizontal="left" vertical="top" wrapText="1"/>
      <protection/>
    </xf>
    <xf numFmtId="0" fontId="5" fillId="20" borderId="0" xfId="50" applyFill="1" applyAlignment="1" applyProtection="1">
      <alignment horizontal="left" vertical="top" wrapText="1"/>
      <protection/>
    </xf>
    <xf numFmtId="0" fontId="5" fillId="21" borderId="130" xfId="50" applyFill="1" applyBorder="1" applyAlignment="1" applyProtection="1">
      <alignment horizontal="center" vertical="top" wrapText="1"/>
      <protection/>
    </xf>
    <xf numFmtId="0" fontId="5" fillId="21" borderId="131" xfId="50" applyFill="1" applyBorder="1" applyAlignment="1" applyProtection="1">
      <alignment horizontal="center" vertical="top" wrapText="1"/>
      <protection/>
    </xf>
    <xf numFmtId="0" fontId="5" fillId="21" borderId="132" xfId="50" applyFill="1" applyBorder="1" applyAlignment="1" applyProtection="1">
      <alignment horizontal="center" vertical="top" wrapText="1"/>
      <protection/>
    </xf>
    <xf numFmtId="0" fontId="5" fillId="21" borderId="133" xfId="50" applyFill="1" applyBorder="1" applyAlignment="1" applyProtection="1">
      <alignment horizontal="center" vertical="top" wrapText="1"/>
      <protection/>
    </xf>
    <xf numFmtId="0" fontId="5" fillId="21" borderId="74" xfId="50" applyFill="1" applyBorder="1" applyAlignment="1" applyProtection="1">
      <alignment horizontal="center" vertical="top" wrapText="1"/>
      <protection/>
    </xf>
    <xf numFmtId="0" fontId="30" fillId="21" borderId="59" xfId="50" applyFont="1" applyFill="1" applyBorder="1" applyAlignment="1" applyProtection="1">
      <alignment horizontal="center" vertical="top" wrapText="1"/>
      <protection/>
    </xf>
    <xf numFmtId="0" fontId="27" fillId="24" borderId="0" xfId="0" applyFont="1" applyFill="1" applyAlignment="1" applyProtection="1">
      <alignment horizontal="left" vertical="top" wrapText="1"/>
      <protection/>
    </xf>
    <xf numFmtId="0" fontId="49" fillId="24" borderId="88" xfId="0" applyFont="1" applyFill="1" applyBorder="1" applyAlignment="1" applyProtection="1">
      <alignment vertical="top" wrapText="1"/>
      <protection/>
    </xf>
    <xf numFmtId="0" fontId="49" fillId="24" borderId="0" xfId="0" applyFont="1" applyFill="1" applyBorder="1" applyAlignment="1" applyProtection="1">
      <alignment vertical="top" wrapText="1"/>
      <protection/>
    </xf>
    <xf numFmtId="0" fontId="27" fillId="24" borderId="0" xfId="0" applyFont="1" applyFill="1" applyAlignment="1" applyProtection="1">
      <alignment vertical="top" wrapText="1"/>
      <protection/>
    </xf>
    <xf numFmtId="0" fontId="0" fillId="20" borderId="12" xfId="0" applyFill="1" applyBorder="1" applyAlignment="1" applyProtection="1">
      <alignment vertical="top" wrapText="1"/>
      <protection/>
    </xf>
    <xf numFmtId="0" fontId="0" fillId="21" borderId="0" xfId="0" applyFill="1" applyAlignment="1" applyProtection="1">
      <alignment vertical="top" wrapText="1"/>
      <protection/>
    </xf>
    <xf numFmtId="0" fontId="50" fillId="24" borderId="0" xfId="0" applyFont="1" applyFill="1" applyAlignment="1" applyProtection="1">
      <alignment vertical="top" wrapText="1"/>
      <protection/>
    </xf>
    <xf numFmtId="0" fontId="7" fillId="24" borderId="10" xfId="0" applyFont="1" applyFill="1" applyBorder="1" applyAlignment="1" applyProtection="1">
      <alignment vertical="top" wrapText="1"/>
      <protection/>
    </xf>
    <xf numFmtId="0" fontId="0" fillId="0" borderId="10" xfId="0" applyBorder="1" applyAlignment="1" applyProtection="1">
      <alignment vertical="top" wrapText="1"/>
      <protection/>
    </xf>
    <xf numFmtId="0" fontId="0" fillId="28" borderId="86"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3" fillId="10" borderId="64" xfId="0" applyNumberFormat="1" applyFont="1" applyFill="1" applyBorder="1" applyAlignment="1" applyProtection="1">
      <alignment horizontal="left" vertical="center" wrapText="1"/>
      <protection/>
    </xf>
    <xf numFmtId="0" fontId="3" fillId="10" borderId="65" xfId="0" applyFont="1" applyFill="1" applyBorder="1" applyAlignment="1" applyProtection="1">
      <alignment horizontal="left" vertical="center" wrapText="1"/>
      <protection/>
    </xf>
    <xf numFmtId="0" fontId="3" fillId="10" borderId="66" xfId="0" applyFont="1" applyFill="1" applyBorder="1" applyAlignment="1" applyProtection="1">
      <alignment horizontal="left" vertical="center" wrapText="1"/>
      <protection/>
    </xf>
    <xf numFmtId="0" fontId="49" fillId="24" borderId="0" xfId="0" applyFont="1" applyFill="1" applyAlignment="1" applyProtection="1">
      <alignment vertical="top" wrapText="1"/>
      <protection/>
    </xf>
    <xf numFmtId="0" fontId="55" fillId="25" borderId="0" xfId="0" applyNumberFormat="1" applyFont="1" applyFill="1" applyAlignment="1" applyProtection="1">
      <alignment horizontal="left" vertical="top" wrapText="1"/>
      <protection/>
    </xf>
    <xf numFmtId="0" fontId="56" fillId="25" borderId="0" xfId="0" applyFont="1" applyFill="1" applyAlignment="1" applyProtection="1">
      <alignment horizontal="left" vertical="top" wrapText="1"/>
      <protection/>
    </xf>
    <xf numFmtId="0" fontId="0" fillId="39" borderId="86" xfId="0" applyFill="1" applyBorder="1" applyAlignment="1" applyProtection="1">
      <alignment vertical="top" wrapText="1"/>
      <protection/>
    </xf>
    <xf numFmtId="0" fontId="0" fillId="39" borderId="30" xfId="0" applyFill="1" applyBorder="1" applyAlignment="1" applyProtection="1">
      <alignment vertical="top" wrapText="1"/>
      <protection/>
    </xf>
    <xf numFmtId="0" fontId="5" fillId="24" borderId="0" xfId="50" applyFill="1" applyAlignment="1" applyProtection="1">
      <alignment horizontal="left" vertical="top"/>
      <protection/>
    </xf>
    <xf numFmtId="0" fontId="5" fillId="0" borderId="0" xfId="50" applyAlignment="1" applyProtection="1">
      <alignment horizontal="left" vertical="top"/>
      <protection/>
    </xf>
    <xf numFmtId="0" fontId="40" fillId="24" borderId="85" xfId="0" applyNumberFormat="1" applyFont="1" applyFill="1" applyBorder="1" applyAlignment="1" applyProtection="1">
      <alignment horizontal="left" vertical="top" wrapText="1"/>
      <protection/>
    </xf>
    <xf numFmtId="0" fontId="40" fillId="24" borderId="12" xfId="0" applyNumberFormat="1" applyFont="1" applyFill="1" applyBorder="1" applyAlignment="1" applyProtection="1">
      <alignment horizontal="left" vertical="top" wrapText="1"/>
      <protection/>
    </xf>
    <xf numFmtId="0" fontId="40" fillId="24" borderId="94" xfId="0" applyNumberFormat="1" applyFont="1" applyFill="1" applyBorder="1" applyAlignment="1" applyProtection="1">
      <alignment horizontal="left" vertical="top" wrapText="1"/>
      <protection/>
    </xf>
    <xf numFmtId="0" fontId="40" fillId="24" borderId="10" xfId="0" applyNumberFormat="1" applyFont="1" applyFill="1" applyBorder="1" applyAlignment="1" applyProtection="1">
      <alignment horizontal="left" vertical="top" wrapText="1"/>
      <protection/>
    </xf>
    <xf numFmtId="0" fontId="40" fillId="24" borderId="86" xfId="0" applyNumberFormat="1" applyFont="1" applyFill="1" applyBorder="1" applyAlignment="1" applyProtection="1">
      <alignment horizontal="left" vertical="top" wrapText="1"/>
      <protection/>
    </xf>
    <xf numFmtId="0" fontId="0" fillId="0" borderId="32" xfId="0" applyBorder="1" applyAlignment="1" applyProtection="1">
      <alignment horizontal="left" vertical="top" wrapText="1"/>
      <protection/>
    </xf>
    <xf numFmtId="180" fontId="0" fillId="23" borderId="86" xfId="0" applyNumberFormat="1" applyFill="1" applyBorder="1" applyAlignment="1" applyProtection="1">
      <alignment vertical="top" wrapText="1"/>
      <protection locked="0"/>
    </xf>
    <xf numFmtId="180" fontId="0" fillId="23" borderId="30" xfId="0" applyNumberFormat="1" applyFill="1" applyBorder="1" applyAlignment="1" applyProtection="1">
      <alignment vertical="top" wrapText="1"/>
      <protection locked="0"/>
    </xf>
    <xf numFmtId="180" fontId="0" fillId="4" borderId="86" xfId="0" applyNumberFormat="1" applyFill="1" applyBorder="1" applyAlignment="1" applyProtection="1">
      <alignment vertical="top" wrapText="1"/>
      <protection/>
    </xf>
    <xf numFmtId="180" fontId="0" fillId="4" borderId="30" xfId="0" applyNumberFormat="1" applyFill="1" applyBorder="1" applyAlignment="1" applyProtection="1">
      <alignment vertical="top" wrapText="1"/>
      <protection/>
    </xf>
    <xf numFmtId="0" fontId="48" fillId="24" borderId="0" xfId="0" applyNumberFormat="1"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30" fillId="21" borderId="66" xfId="50" applyFont="1" applyFill="1" applyBorder="1" applyAlignment="1" applyProtection="1">
      <alignment horizontal="center" vertical="top" wrapText="1"/>
      <protection/>
    </xf>
    <xf numFmtId="0" fontId="5" fillId="21" borderId="81" xfId="50" applyFill="1" applyBorder="1" applyAlignment="1" applyProtection="1">
      <alignment horizontal="center" vertical="top" wrapText="1"/>
      <protection/>
    </xf>
    <xf numFmtId="0" fontId="6" fillId="24" borderId="0" xfId="0" applyFont="1" applyFill="1" applyAlignment="1" applyProtection="1">
      <alignment vertical="top" wrapText="1"/>
      <protection/>
    </xf>
    <xf numFmtId="0" fontId="0" fillId="24" borderId="0" xfId="0" applyFill="1" applyAlignment="1" applyProtection="1">
      <alignment horizontal="left" vertical="top" wrapText="1"/>
      <protection/>
    </xf>
    <xf numFmtId="0" fontId="0" fillId="0" borderId="0" xfId="0" applyFont="1" applyAlignment="1" applyProtection="1">
      <alignment horizontal="left" vertical="top" wrapText="1"/>
      <protection/>
    </xf>
    <xf numFmtId="0" fontId="7" fillId="24" borderId="0" xfId="0" applyFont="1" applyFill="1" applyAlignment="1" applyProtection="1">
      <alignment vertical="top" wrapText="1"/>
      <protection/>
    </xf>
    <xf numFmtId="0" fontId="7" fillId="31"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7" fillId="24" borderId="0" xfId="0" applyFont="1" applyFill="1" applyAlignment="1" applyProtection="1">
      <alignment horizontal="left" vertical="top" wrapText="1"/>
      <protection/>
    </xf>
    <xf numFmtId="0" fontId="0" fillId="30" borderId="106" xfId="0" applyNumberFormat="1" applyFont="1" applyFill="1" applyBorder="1" applyAlignment="1" applyProtection="1">
      <alignment horizontal="left" vertical="top"/>
      <protection/>
    </xf>
    <xf numFmtId="0" fontId="0" fillId="30" borderId="91" xfId="0" applyNumberFormat="1" applyFont="1" applyFill="1" applyBorder="1" applyAlignment="1" applyProtection="1">
      <alignment horizontal="left" vertical="top"/>
      <protection/>
    </xf>
    <xf numFmtId="0" fontId="0" fillId="30" borderId="13" xfId="0" applyNumberFormat="1" applyFont="1" applyFill="1" applyBorder="1" applyAlignment="1" applyProtection="1">
      <alignment horizontal="left" vertical="top"/>
      <protection/>
    </xf>
    <xf numFmtId="0" fontId="3" fillId="31" borderId="94" xfId="0" applyNumberFormat="1" applyFont="1" applyFill="1" applyBorder="1" applyAlignment="1" applyProtection="1">
      <alignment wrapText="1"/>
      <protection/>
    </xf>
    <xf numFmtId="0" fontId="0" fillId="0" borderId="10" xfId="0" applyBorder="1" applyAlignment="1" applyProtection="1">
      <alignment wrapText="1"/>
      <protection/>
    </xf>
    <xf numFmtId="0" fontId="0" fillId="0" borderId="41" xfId="0" applyBorder="1" applyAlignment="1" applyProtection="1">
      <alignment wrapText="1"/>
      <protection/>
    </xf>
    <xf numFmtId="0" fontId="0" fillId="33" borderId="108" xfId="0" applyNumberFormat="1" applyFont="1" applyFill="1" applyBorder="1" applyAlignment="1" applyProtection="1">
      <alignment horizontal="left" vertical="top"/>
      <protection locked="0"/>
    </xf>
    <xf numFmtId="0" fontId="0" fillId="33" borderId="92" xfId="0" applyNumberFormat="1" applyFont="1" applyFill="1" applyBorder="1" applyAlignment="1" applyProtection="1">
      <alignment horizontal="left" vertical="top"/>
      <protection locked="0"/>
    </xf>
    <xf numFmtId="0" fontId="0" fillId="33" borderId="15" xfId="0" applyNumberFormat="1" applyFont="1" applyFill="1" applyBorder="1" applyAlignment="1" applyProtection="1">
      <alignment horizontal="left" vertical="top"/>
      <protection locked="0"/>
    </xf>
    <xf numFmtId="0" fontId="0" fillId="30" borderId="86" xfId="0" applyNumberFormat="1" applyFont="1" applyFill="1" applyBorder="1" applyAlignment="1" applyProtection="1">
      <alignment horizontal="left" vertical="top"/>
      <protection/>
    </xf>
    <xf numFmtId="0" fontId="0" fillId="30" borderId="32" xfId="0" applyNumberFormat="1" applyFont="1" applyFill="1" applyBorder="1" applyAlignment="1" applyProtection="1">
      <alignment horizontal="left" vertical="top"/>
      <protection/>
    </xf>
    <xf numFmtId="0" fontId="0" fillId="30" borderId="30" xfId="0" applyNumberFormat="1" applyFont="1" applyFill="1" applyBorder="1" applyAlignment="1" applyProtection="1">
      <alignment horizontal="left" vertical="top"/>
      <protection/>
    </xf>
    <xf numFmtId="0" fontId="3" fillId="24" borderId="91" xfId="0" applyFont="1" applyFill="1" applyBorder="1" applyAlignment="1" applyProtection="1">
      <alignment horizontal="left" vertical="top" wrapText="1"/>
      <protection/>
    </xf>
    <xf numFmtId="0" fontId="3" fillId="24" borderId="13" xfId="0" applyFont="1" applyFill="1" applyBorder="1" applyAlignment="1" applyProtection="1">
      <alignment horizontal="left" vertical="top" wrapText="1"/>
      <protection/>
    </xf>
    <xf numFmtId="0" fontId="3" fillId="24" borderId="92" xfId="0" applyFont="1" applyFill="1" applyBorder="1" applyAlignment="1" applyProtection="1">
      <alignment horizontal="left" vertical="top" wrapText="1"/>
      <protection/>
    </xf>
    <xf numFmtId="0" fontId="3" fillId="24" borderId="15" xfId="0" applyFont="1" applyFill="1" applyBorder="1" applyAlignment="1" applyProtection="1">
      <alignment horizontal="left" vertical="top" wrapText="1"/>
      <protection/>
    </xf>
    <xf numFmtId="0" fontId="3" fillId="24" borderId="32" xfId="0" applyFont="1" applyFill="1" applyBorder="1" applyAlignment="1" applyProtection="1">
      <alignment horizontal="left" vertical="top" wrapText="1"/>
      <protection/>
    </xf>
    <xf numFmtId="0" fontId="3" fillId="24" borderId="30" xfId="0" applyFont="1" applyFill="1" applyBorder="1" applyAlignment="1" applyProtection="1">
      <alignment horizontal="left" vertical="top" wrapText="1"/>
      <protection/>
    </xf>
    <xf numFmtId="49" fontId="0" fillId="23" borderId="107" xfId="0" applyNumberFormat="1" applyFont="1" applyFill="1" applyBorder="1" applyAlignment="1" applyProtection="1">
      <alignment horizontal="left" vertical="top"/>
      <protection locked="0"/>
    </xf>
    <xf numFmtId="49" fontId="0" fillId="23" borderId="93" xfId="0" applyNumberFormat="1" applyFont="1" applyFill="1" applyBorder="1" applyAlignment="1" applyProtection="1">
      <alignment horizontal="left" vertical="top"/>
      <protection locked="0"/>
    </xf>
    <xf numFmtId="0" fontId="0" fillId="0" borderId="28" xfId="0" applyBorder="1" applyAlignment="1" applyProtection="1">
      <alignment vertical="top" wrapText="1"/>
      <protection/>
    </xf>
    <xf numFmtId="0" fontId="0" fillId="28" borderId="86" xfId="0" applyNumberFormat="1" applyFont="1" applyFill="1" applyBorder="1" applyAlignment="1" applyProtection="1">
      <alignment horizontal="left" vertical="top"/>
      <protection locked="0"/>
    </xf>
    <xf numFmtId="0" fontId="0" fillId="0" borderId="32" xfId="0" applyNumberFormat="1" applyFont="1" applyBorder="1" applyAlignment="1" applyProtection="1">
      <alignment horizontal="left" vertical="top"/>
      <protection locked="0"/>
    </xf>
    <xf numFmtId="0" fontId="0" fillId="0" borderId="30" xfId="0" applyNumberFormat="1" applyFont="1" applyBorder="1" applyAlignment="1" applyProtection="1">
      <alignment horizontal="left" vertical="top"/>
      <protection locked="0"/>
    </xf>
    <xf numFmtId="49" fontId="0" fillId="31" borderId="0" xfId="0" applyNumberFormat="1" applyFont="1" applyFill="1" applyBorder="1" applyAlignment="1" applyProtection="1">
      <alignment horizontal="left" vertical="top"/>
      <protection/>
    </xf>
    <xf numFmtId="0" fontId="32" fillId="24" borderId="0" xfId="0" applyFont="1" applyFill="1" applyAlignment="1" applyProtection="1">
      <alignment horizontal="left" vertical="top" wrapText="1"/>
      <protection/>
    </xf>
    <xf numFmtId="0" fontId="3" fillId="31" borderId="0" xfId="0" applyFont="1" applyFill="1" applyBorder="1" applyAlignment="1" applyProtection="1">
      <alignment horizontal="left" vertical="top" wrapText="1"/>
      <protection/>
    </xf>
    <xf numFmtId="0" fontId="3" fillId="31" borderId="28" xfId="0" applyFont="1" applyFill="1" applyBorder="1" applyAlignment="1" applyProtection="1">
      <alignment horizontal="left" vertical="top" wrapText="1"/>
      <protection/>
    </xf>
    <xf numFmtId="0" fontId="0" fillId="28" borderId="11" xfId="0" applyNumberFormat="1" applyFont="1" applyFill="1" applyBorder="1" applyAlignment="1" applyProtection="1">
      <alignment horizontal="center" vertical="top"/>
      <protection locked="0"/>
    </xf>
    <xf numFmtId="49" fontId="0" fillId="28" borderId="86" xfId="0" applyNumberFormat="1" applyFont="1" applyFill="1" applyBorder="1" applyAlignment="1" applyProtection="1">
      <alignment horizontal="left" vertical="top"/>
      <protection locked="0"/>
    </xf>
    <xf numFmtId="49" fontId="0" fillId="0" borderId="32" xfId="0" applyNumberFormat="1" applyFont="1" applyBorder="1" applyAlignment="1" applyProtection="1">
      <alignment horizontal="left" vertical="top"/>
      <protection locked="0"/>
    </xf>
    <xf numFmtId="49" fontId="0" fillId="0" borderId="30" xfId="0" applyNumberFormat="1" applyFont="1" applyBorder="1" applyAlignment="1" applyProtection="1">
      <alignment horizontal="left" vertical="top"/>
      <protection locked="0"/>
    </xf>
    <xf numFmtId="0" fontId="0" fillId="24" borderId="93" xfId="0" applyFont="1" applyFill="1" applyBorder="1" applyAlignment="1" applyProtection="1">
      <alignment vertical="top" wrapText="1"/>
      <protection/>
    </xf>
    <xf numFmtId="0" fontId="0" fillId="0" borderId="93" xfId="0" applyBorder="1" applyAlignment="1" applyProtection="1">
      <alignment vertical="top" wrapText="1"/>
      <protection/>
    </xf>
    <xf numFmtId="0" fontId="0" fillId="0" borderId="14" xfId="0" applyBorder="1" applyAlignment="1" applyProtection="1">
      <alignment vertical="top" wrapText="1"/>
      <protection/>
    </xf>
    <xf numFmtId="0" fontId="3" fillId="21" borderId="40"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28" borderId="108" xfId="0" applyFont="1" applyFill="1" applyBorder="1" applyAlignment="1" applyProtection="1">
      <alignment vertical="top"/>
      <protection locked="0"/>
    </xf>
    <xf numFmtId="0" fontId="0" fillId="28" borderId="92" xfId="0" applyFont="1" applyFill="1" applyBorder="1" applyAlignment="1" applyProtection="1">
      <alignment vertical="top"/>
      <protection locked="0"/>
    </xf>
    <xf numFmtId="0" fontId="0" fillId="24" borderId="91" xfId="0" applyFont="1" applyFill="1" applyBorder="1" applyAlignment="1" applyProtection="1">
      <alignment vertical="top" wrapText="1"/>
      <protection/>
    </xf>
    <xf numFmtId="0" fontId="0" fillId="0" borderId="91" xfId="0" applyBorder="1" applyAlignment="1" applyProtection="1">
      <alignment vertical="top" wrapText="1"/>
      <protection/>
    </xf>
    <xf numFmtId="0" fontId="0" fillId="0" borderId="13" xfId="0" applyBorder="1" applyAlignment="1" applyProtection="1">
      <alignment vertical="top" wrapText="1"/>
      <protection/>
    </xf>
    <xf numFmtId="0" fontId="3" fillId="24" borderId="0" xfId="0" applyFont="1" applyFill="1" applyAlignment="1" applyProtection="1">
      <alignment vertical="top" wrapText="1"/>
      <protection/>
    </xf>
    <xf numFmtId="0" fontId="3" fillId="24" borderId="10" xfId="0" applyFont="1" applyFill="1" applyBorder="1" applyAlignment="1" applyProtection="1">
      <alignment vertical="top" wrapText="1"/>
      <protection/>
    </xf>
    <xf numFmtId="0" fontId="3" fillId="24" borderId="10" xfId="0" applyFont="1" applyFill="1" applyBorder="1" applyAlignment="1" applyProtection="1">
      <alignment vertical="top" wrapText="1"/>
      <protection/>
    </xf>
    <xf numFmtId="0" fontId="28" fillId="24" borderId="0" xfId="0" applyFont="1" applyFill="1" applyAlignment="1" applyProtection="1">
      <alignment vertical="top" wrapText="1"/>
      <protection/>
    </xf>
    <xf numFmtId="49" fontId="0" fillId="28" borderId="107" xfId="0" applyNumberFormat="1" applyFont="1" applyFill="1" applyBorder="1" applyAlignment="1" applyProtection="1">
      <alignment horizontal="left" vertical="top"/>
      <protection locked="0"/>
    </xf>
    <xf numFmtId="49" fontId="0" fillId="0" borderId="93" xfId="0" applyNumberFormat="1" applyFont="1" applyBorder="1" applyAlignment="1" applyProtection="1">
      <alignment horizontal="left" vertical="top"/>
      <protection locked="0"/>
    </xf>
    <xf numFmtId="49" fontId="0" fillId="28" borderId="106" xfId="0" applyNumberFormat="1" applyFont="1" applyFill="1" applyBorder="1" applyAlignment="1" applyProtection="1">
      <alignment horizontal="left" vertical="top"/>
      <protection locked="0"/>
    </xf>
    <xf numFmtId="49" fontId="0" fillId="0" borderId="91" xfId="0" applyNumberFormat="1" applyFont="1" applyBorder="1" applyAlignment="1" applyProtection="1">
      <alignment horizontal="left" vertical="top"/>
      <protection locked="0"/>
    </xf>
    <xf numFmtId="49" fontId="0" fillId="23" borderId="106" xfId="0" applyNumberFormat="1" applyFont="1" applyFill="1" applyBorder="1" applyAlignment="1" applyProtection="1">
      <alignment horizontal="left" vertical="top"/>
      <protection locked="0"/>
    </xf>
    <xf numFmtId="49" fontId="0" fillId="23" borderId="91" xfId="0" applyNumberFormat="1" applyFont="1" applyFill="1" applyBorder="1" applyAlignment="1" applyProtection="1">
      <alignment horizontal="left" vertical="top"/>
      <protection locked="0"/>
    </xf>
    <xf numFmtId="49" fontId="0" fillId="23" borderId="108" xfId="0" applyNumberFormat="1" applyFont="1" applyFill="1" applyBorder="1" applyAlignment="1" applyProtection="1">
      <alignment horizontal="left" vertical="top"/>
      <protection locked="0"/>
    </xf>
    <xf numFmtId="49" fontId="0" fillId="23" borderId="92" xfId="0" applyNumberFormat="1" applyFont="1" applyFill="1" applyBorder="1" applyAlignment="1" applyProtection="1">
      <alignment horizontal="left" vertical="top"/>
      <protection locked="0"/>
    </xf>
    <xf numFmtId="0" fontId="0" fillId="24" borderId="92" xfId="0" applyFont="1" applyFill="1" applyBorder="1" applyAlignment="1" applyProtection="1">
      <alignment vertical="top" wrapText="1"/>
      <protection/>
    </xf>
    <xf numFmtId="0" fontId="0" fillId="0" borderId="92" xfId="0" applyBorder="1" applyAlignment="1" applyProtection="1">
      <alignment vertical="top" wrapText="1"/>
      <protection/>
    </xf>
    <xf numFmtId="0" fontId="0" fillId="0" borderId="15" xfId="0" applyBorder="1" applyAlignment="1" applyProtection="1">
      <alignment vertical="top" wrapText="1"/>
      <protection/>
    </xf>
    <xf numFmtId="0" fontId="0" fillId="0" borderId="0" xfId="0" applyAlignment="1" applyProtection="1">
      <alignment wrapText="1"/>
      <protection/>
    </xf>
    <xf numFmtId="0" fontId="0" fillId="28" borderId="107" xfId="0" applyFont="1" applyFill="1" applyBorder="1" applyAlignment="1" applyProtection="1">
      <alignment vertical="top"/>
      <protection locked="0"/>
    </xf>
    <xf numFmtId="0" fontId="0" fillId="28" borderId="93" xfId="0" applyFont="1" applyFill="1" applyBorder="1" applyAlignment="1" applyProtection="1">
      <alignment vertical="top"/>
      <protection locked="0"/>
    </xf>
    <xf numFmtId="0" fontId="0" fillId="28" borderId="106" xfId="0" applyFont="1" applyFill="1" applyBorder="1" applyAlignment="1" applyProtection="1">
      <alignment vertical="top"/>
      <protection locked="0"/>
    </xf>
    <xf numFmtId="0" fontId="0" fillId="0" borderId="91" xfId="0" applyFont="1" applyBorder="1" applyAlignment="1" applyProtection="1">
      <alignment/>
      <protection locked="0"/>
    </xf>
    <xf numFmtId="49" fontId="0" fillId="23" borderId="107" xfId="0" applyNumberFormat="1" applyFont="1" applyFill="1" applyBorder="1" applyAlignment="1" applyProtection="1">
      <alignment horizontal="left" vertical="top"/>
      <protection locked="0"/>
    </xf>
    <xf numFmtId="49" fontId="0" fillId="23" borderId="93" xfId="0" applyNumberFormat="1" applyFont="1" applyFill="1" applyBorder="1" applyAlignment="1" applyProtection="1">
      <alignment horizontal="left" vertical="top"/>
      <protection locked="0"/>
    </xf>
    <xf numFmtId="49" fontId="0" fillId="23" borderId="106" xfId="0" applyNumberFormat="1" applyFont="1" applyFill="1" applyBorder="1" applyAlignment="1" applyProtection="1">
      <alignment horizontal="left" vertical="top"/>
      <protection locked="0"/>
    </xf>
    <xf numFmtId="49" fontId="0" fillId="23" borderId="91" xfId="0" applyNumberFormat="1" applyFont="1" applyFill="1" applyBorder="1" applyAlignment="1" applyProtection="1">
      <alignment horizontal="left" vertical="top"/>
      <protection locked="0"/>
    </xf>
    <xf numFmtId="0" fontId="0" fillId="23" borderId="107" xfId="0" applyNumberFormat="1" applyFont="1" applyFill="1" applyBorder="1" applyAlignment="1" applyProtection="1">
      <alignment horizontal="left" vertical="top"/>
      <protection locked="0"/>
    </xf>
    <xf numFmtId="0" fontId="0" fillId="23" borderId="93" xfId="0" applyNumberFormat="1" applyFont="1" applyFill="1" applyBorder="1" applyAlignment="1" applyProtection="1">
      <alignment horizontal="left" vertical="top"/>
      <protection locked="0"/>
    </xf>
    <xf numFmtId="0" fontId="0" fillId="23" borderId="14" xfId="0" applyNumberFormat="1" applyFont="1" applyFill="1" applyBorder="1" applyAlignment="1" applyProtection="1">
      <alignment horizontal="left" vertical="top"/>
      <protection locked="0"/>
    </xf>
    <xf numFmtId="0" fontId="0" fillId="28" borderId="107" xfId="0" applyNumberFormat="1" applyFont="1" applyFill="1" applyBorder="1" applyAlignment="1" applyProtection="1">
      <alignment horizontal="left" vertical="top"/>
      <protection locked="0"/>
    </xf>
    <xf numFmtId="0" fontId="0" fillId="0" borderId="14" xfId="0" applyBorder="1" applyAlignment="1" applyProtection="1">
      <alignment horizontal="left" vertical="top"/>
      <protection locked="0"/>
    </xf>
    <xf numFmtId="0" fontId="3" fillId="0" borderId="94" xfId="0" applyNumberFormat="1" applyFont="1" applyFill="1" applyBorder="1" applyAlignment="1" applyProtection="1">
      <alignment wrapText="1"/>
      <protection/>
    </xf>
    <xf numFmtId="0" fontId="3" fillId="24" borderId="10" xfId="0" applyNumberFormat="1" applyFont="1" applyFill="1" applyBorder="1" applyAlignment="1" applyProtection="1">
      <alignment wrapText="1"/>
      <protection/>
    </xf>
    <xf numFmtId="0" fontId="0" fillId="28" borderId="14" xfId="0" applyNumberFormat="1" applyFont="1" applyFill="1" applyBorder="1" applyAlignment="1" applyProtection="1">
      <alignment horizontal="left" vertical="top"/>
      <protection locked="0"/>
    </xf>
    <xf numFmtId="0" fontId="0" fillId="23" borderId="106" xfId="0" applyNumberFormat="1" applyFont="1" applyFill="1" applyBorder="1" applyAlignment="1" applyProtection="1">
      <alignment horizontal="left" vertical="top"/>
      <protection locked="0"/>
    </xf>
    <xf numFmtId="0" fontId="0" fillId="23" borderId="91" xfId="0" applyNumberFormat="1" applyFont="1" applyFill="1" applyBorder="1" applyAlignment="1" applyProtection="1">
      <alignment horizontal="left" vertical="top"/>
      <protection locked="0"/>
    </xf>
    <xf numFmtId="0" fontId="0" fillId="23" borderId="13" xfId="0" applyNumberFormat="1" applyFont="1" applyFill="1" applyBorder="1" applyAlignment="1" applyProtection="1">
      <alignment horizontal="left" vertical="top"/>
      <protection locked="0"/>
    </xf>
    <xf numFmtId="49" fontId="3" fillId="28" borderId="107" xfId="0" applyNumberFormat="1" applyFont="1" applyFill="1" applyBorder="1" applyAlignment="1" applyProtection="1">
      <alignment vertical="top"/>
      <protection locked="0"/>
    </xf>
    <xf numFmtId="49" fontId="3" fillId="28" borderId="14" xfId="0" applyNumberFormat="1" applyFont="1" applyFill="1" applyBorder="1" applyAlignment="1" applyProtection="1">
      <alignment vertical="top"/>
      <protection locked="0"/>
    </xf>
    <xf numFmtId="0" fontId="0" fillId="28" borderId="93" xfId="0" applyNumberFormat="1" applyFont="1" applyFill="1" applyBorder="1" applyAlignment="1" applyProtection="1">
      <alignment horizontal="left" vertical="top"/>
      <protection locked="0"/>
    </xf>
    <xf numFmtId="0" fontId="0" fillId="28" borderId="108" xfId="0" applyNumberFormat="1" applyFont="1" applyFill="1" applyBorder="1" applyAlignment="1" applyProtection="1">
      <alignment vertical="top"/>
      <protection locked="0"/>
    </xf>
    <xf numFmtId="0" fontId="0" fillId="0" borderId="92" xfId="0" applyBorder="1" applyAlignment="1" applyProtection="1">
      <alignment vertical="top"/>
      <protection locked="0"/>
    </xf>
    <xf numFmtId="49" fontId="3" fillId="28" borderId="106" xfId="0" applyNumberFormat="1" applyFont="1" applyFill="1" applyBorder="1" applyAlignment="1" applyProtection="1">
      <alignment vertical="top"/>
      <protection locked="0"/>
    </xf>
    <xf numFmtId="49" fontId="3" fillId="28" borderId="13" xfId="0" applyNumberFormat="1" applyFont="1" applyFill="1" applyBorder="1" applyAlignment="1" applyProtection="1">
      <alignment vertical="top"/>
      <protection locked="0"/>
    </xf>
    <xf numFmtId="0" fontId="0" fillId="28" borderId="107" xfId="0" applyNumberFormat="1" applyFont="1" applyFill="1" applyBorder="1" applyAlignment="1" applyProtection="1">
      <alignment vertical="top"/>
      <protection locked="0"/>
    </xf>
    <xf numFmtId="0" fontId="0" fillId="0" borderId="93" xfId="0" applyBorder="1" applyAlignment="1" applyProtection="1">
      <alignment vertical="top"/>
      <protection locked="0"/>
    </xf>
    <xf numFmtId="0" fontId="0" fillId="28" borderId="108" xfId="0" applyNumberFormat="1" applyFont="1" applyFill="1"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28" borderId="15" xfId="0" applyNumberFormat="1" applyFont="1" applyFill="1" applyBorder="1" applyAlignment="1" applyProtection="1">
      <alignment horizontal="left" vertical="top"/>
      <protection locked="0"/>
    </xf>
    <xf numFmtId="49" fontId="0" fillId="23" borderId="108" xfId="0" applyNumberFormat="1" applyFont="1" applyFill="1" applyBorder="1" applyAlignment="1" applyProtection="1">
      <alignment horizontal="left" vertical="top"/>
      <protection locked="0"/>
    </xf>
    <xf numFmtId="49" fontId="0" fillId="23" borderId="92" xfId="0" applyNumberFormat="1" applyFont="1" applyFill="1" applyBorder="1" applyAlignment="1" applyProtection="1">
      <alignment horizontal="left" vertical="top"/>
      <protection locked="0"/>
    </xf>
    <xf numFmtId="0" fontId="0" fillId="23" borderId="108" xfId="0" applyNumberFormat="1" applyFont="1" applyFill="1" applyBorder="1" applyAlignment="1" applyProtection="1">
      <alignment horizontal="left" vertical="top"/>
      <protection locked="0"/>
    </xf>
    <xf numFmtId="0" fontId="0" fillId="23" borderId="92" xfId="0" applyNumberFormat="1" applyFont="1" applyFill="1" applyBorder="1" applyAlignment="1" applyProtection="1">
      <alignment horizontal="left" vertical="top"/>
      <protection locked="0"/>
    </xf>
    <xf numFmtId="0" fontId="0" fillId="23" borderId="15" xfId="0" applyNumberFormat="1" applyFont="1" applyFill="1" applyBorder="1" applyAlignment="1" applyProtection="1">
      <alignment horizontal="left" vertical="top"/>
      <protection locked="0"/>
    </xf>
    <xf numFmtId="0" fontId="0" fillId="28" borderId="92" xfId="0" applyNumberFormat="1" applyFont="1" applyFill="1" applyBorder="1" applyAlignment="1" applyProtection="1">
      <alignment horizontal="left" vertical="top"/>
      <protection locked="0"/>
    </xf>
    <xf numFmtId="0" fontId="0" fillId="28" borderId="106" xfId="0" applyNumberFormat="1" applyFont="1" applyFill="1" applyBorder="1" applyAlignment="1" applyProtection="1">
      <alignment horizontal="left" vertical="top"/>
      <protection locked="0"/>
    </xf>
    <xf numFmtId="0" fontId="0" fillId="0" borderId="13" xfId="0" applyBorder="1" applyAlignment="1" applyProtection="1">
      <alignment horizontal="left" vertical="top"/>
      <protection locked="0"/>
    </xf>
    <xf numFmtId="49" fontId="3" fillId="28" borderId="108" xfId="0" applyNumberFormat="1" applyFont="1" applyFill="1" applyBorder="1" applyAlignment="1" applyProtection="1">
      <alignment vertical="top"/>
      <protection locked="0"/>
    </xf>
    <xf numFmtId="49" fontId="3" fillId="28" borderId="15" xfId="0" applyNumberFormat="1" applyFont="1" applyFill="1" applyBorder="1" applyAlignment="1" applyProtection="1">
      <alignment vertical="top"/>
      <protection locked="0"/>
    </xf>
    <xf numFmtId="0" fontId="0" fillId="28" borderId="106" xfId="0" applyNumberFormat="1" applyFont="1" applyFill="1" applyBorder="1" applyAlignment="1" applyProtection="1">
      <alignment horizontal="left" vertical="top"/>
      <protection locked="0"/>
    </xf>
    <xf numFmtId="0" fontId="0" fillId="28" borderId="91" xfId="0" applyNumberFormat="1" applyFont="1" applyFill="1" applyBorder="1" applyAlignment="1" applyProtection="1">
      <alignment horizontal="left" vertical="top"/>
      <protection locked="0"/>
    </xf>
    <xf numFmtId="0" fontId="0" fillId="28" borderId="13" xfId="0" applyNumberFormat="1" applyFont="1" applyFill="1" applyBorder="1" applyAlignment="1" applyProtection="1">
      <alignment horizontal="left" vertical="top"/>
      <protection locked="0"/>
    </xf>
    <xf numFmtId="0" fontId="0" fillId="28" borderId="106" xfId="0" applyNumberFormat="1" applyFont="1" applyFill="1" applyBorder="1" applyAlignment="1" applyProtection="1">
      <alignment vertical="top"/>
      <protection locked="0"/>
    </xf>
    <xf numFmtId="0" fontId="0" fillId="0" borderId="91" xfId="0" applyBorder="1" applyAlignment="1" applyProtection="1">
      <alignment vertical="top"/>
      <protection locked="0"/>
    </xf>
    <xf numFmtId="0" fontId="52" fillId="24" borderId="0" xfId="0" applyFont="1" applyFill="1" applyAlignment="1" applyProtection="1">
      <alignment horizontal="left" vertical="top" wrapText="1"/>
      <protection/>
    </xf>
    <xf numFmtId="49" fontId="0" fillId="23" borderId="86" xfId="0" applyNumberFormat="1" applyFont="1" applyFill="1" applyBorder="1" applyAlignment="1" applyProtection="1">
      <alignment horizontal="left" vertical="top"/>
      <protection locked="0"/>
    </xf>
    <xf numFmtId="49" fontId="0" fillId="23" borderId="32" xfId="0" applyNumberFormat="1" applyFont="1" applyFill="1" applyBorder="1" applyAlignment="1" applyProtection="1">
      <alignment horizontal="left" vertical="top"/>
      <protection locked="0"/>
    </xf>
    <xf numFmtId="49" fontId="0" fillId="23" borderId="30" xfId="0" applyNumberFormat="1" applyFont="1" applyFill="1" applyBorder="1" applyAlignment="1" applyProtection="1">
      <alignment horizontal="left" vertical="top"/>
      <protection locked="0"/>
    </xf>
    <xf numFmtId="0" fontId="28" fillId="24" borderId="0" xfId="0" applyFont="1" applyFill="1" applyAlignment="1" applyProtection="1">
      <alignment horizontal="center"/>
      <protection/>
    </xf>
    <xf numFmtId="0" fontId="3" fillId="28" borderId="86" xfId="0" applyNumberFormat="1" applyFont="1" applyFill="1" applyBorder="1" applyAlignment="1" applyProtection="1">
      <alignment horizontal="center" vertical="top"/>
      <protection locked="0"/>
    </xf>
    <xf numFmtId="0" fontId="3" fillId="28" borderId="30" xfId="0" applyNumberFormat="1" applyFont="1" applyFill="1" applyBorder="1" applyAlignment="1" applyProtection="1">
      <alignment horizontal="center" vertical="top"/>
      <protection locked="0"/>
    </xf>
    <xf numFmtId="0" fontId="0" fillId="34" borderId="108" xfId="0" applyNumberFormat="1" applyFont="1" applyFill="1" applyBorder="1" applyAlignment="1" applyProtection="1">
      <alignment horizontal="left" vertical="top"/>
      <protection locked="0"/>
    </xf>
    <xf numFmtId="0" fontId="0" fillId="34" borderId="92" xfId="0" applyNumberFormat="1" applyFont="1" applyFill="1" applyBorder="1" applyAlignment="1" applyProtection="1">
      <alignment horizontal="left" vertical="top"/>
      <protection locked="0"/>
    </xf>
    <xf numFmtId="0" fontId="0" fillId="34" borderId="15" xfId="0" applyNumberFormat="1" applyFont="1" applyFill="1" applyBorder="1" applyAlignment="1" applyProtection="1">
      <alignment horizontal="left" vertical="top"/>
      <protection locked="0"/>
    </xf>
    <xf numFmtId="0" fontId="0" fillId="4" borderId="11" xfId="0" applyNumberFormat="1" applyFont="1" applyFill="1" applyBorder="1" applyAlignment="1" applyProtection="1">
      <alignment horizontal="left" vertical="top"/>
      <protection/>
    </xf>
    <xf numFmtId="0" fontId="0" fillId="28" borderId="86" xfId="0" applyFont="1" applyFill="1" applyBorder="1" applyAlignment="1" applyProtection="1">
      <alignment horizontal="left" vertical="top" wrapText="1"/>
      <protection locked="0"/>
    </xf>
    <xf numFmtId="0" fontId="0" fillId="28" borderId="32" xfId="0"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31" fillId="4" borderId="0" xfId="0" applyNumberFormat="1" applyFont="1" applyFill="1" applyBorder="1" applyAlignment="1" applyProtection="1">
      <alignment vertical="top" wrapText="1"/>
      <protection/>
    </xf>
    <xf numFmtId="0" fontId="32" fillId="2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31" borderId="0" xfId="0" applyFont="1" applyFill="1" applyBorder="1" applyAlignment="1" applyProtection="1">
      <alignment horizontal="left" vertical="top" wrapText="1"/>
      <protection/>
    </xf>
    <xf numFmtId="0" fontId="0" fillId="31" borderId="93" xfId="0" applyFont="1" applyFill="1" applyBorder="1" applyAlignment="1" applyProtection="1">
      <alignment horizontal="left" vertical="top" wrapText="1"/>
      <protection/>
    </xf>
    <xf numFmtId="0" fontId="0" fillId="31" borderId="93" xfId="0" applyFill="1" applyBorder="1" applyAlignment="1" applyProtection="1">
      <alignment horizontal="left" vertical="top" wrapText="1"/>
      <protection/>
    </xf>
    <xf numFmtId="0" fontId="0" fillId="31" borderId="14" xfId="0" applyFill="1" applyBorder="1" applyAlignment="1" applyProtection="1">
      <alignment horizontal="left" vertical="top" wrapText="1"/>
      <protection/>
    </xf>
    <xf numFmtId="0" fontId="0" fillId="31" borderId="92" xfId="0" applyFont="1" applyFill="1" applyBorder="1" applyAlignment="1" applyProtection="1">
      <alignment horizontal="left" vertical="top" wrapText="1"/>
      <protection/>
    </xf>
    <xf numFmtId="0" fontId="0" fillId="31" borderId="92" xfId="0" applyFill="1" applyBorder="1" applyAlignment="1" applyProtection="1">
      <alignment horizontal="left" vertical="top" wrapText="1"/>
      <protection/>
    </xf>
    <xf numFmtId="0" fontId="0" fillId="31" borderId="15" xfId="0" applyFill="1" applyBorder="1" applyAlignment="1" applyProtection="1">
      <alignment horizontal="left" vertical="top" wrapText="1"/>
      <protection/>
    </xf>
    <xf numFmtId="0" fontId="0" fillId="31" borderId="91" xfId="0" applyFont="1" applyFill="1" applyBorder="1" applyAlignment="1" applyProtection="1">
      <alignment horizontal="left" vertical="top" wrapText="1"/>
      <protection/>
    </xf>
    <xf numFmtId="0" fontId="0" fillId="31" borderId="91" xfId="0" applyFill="1" applyBorder="1" applyAlignment="1" applyProtection="1">
      <alignment horizontal="left" vertical="top" wrapText="1"/>
      <protection/>
    </xf>
    <xf numFmtId="0" fontId="0" fillId="31" borderId="13" xfId="0" applyFill="1" applyBorder="1" applyAlignment="1" applyProtection="1">
      <alignment horizontal="left" vertical="top" wrapText="1"/>
      <protection/>
    </xf>
    <xf numFmtId="0" fontId="39" fillId="24" borderId="0" xfId="0" applyNumberFormat="1" applyFont="1" applyFill="1" applyBorder="1" applyAlignment="1" applyProtection="1">
      <alignment horizontal="left" vertical="top" wrapText="1"/>
      <protection/>
    </xf>
    <xf numFmtId="0" fontId="0" fillId="28" borderId="86" xfId="0" applyNumberFormat="1" applyFont="1" applyFill="1" applyBorder="1" applyAlignment="1" applyProtection="1">
      <alignment horizontal="left" vertical="top"/>
      <protection locked="0"/>
    </xf>
    <xf numFmtId="0" fontId="0" fillId="28" borderId="32" xfId="0" applyNumberFormat="1" applyFont="1" applyFill="1" applyBorder="1" applyAlignment="1" applyProtection="1">
      <alignment horizontal="left" vertical="top"/>
      <protection locked="0"/>
    </xf>
    <xf numFmtId="0" fontId="0" fillId="28" borderId="30" xfId="0" applyNumberFormat="1" applyFont="1" applyFill="1" applyBorder="1" applyAlignment="1" applyProtection="1">
      <alignment horizontal="left" vertical="top"/>
      <protection locked="0"/>
    </xf>
    <xf numFmtId="0" fontId="0" fillId="30" borderId="109" xfId="0" applyNumberFormat="1" applyFont="1" applyFill="1" applyBorder="1" applyAlignment="1" applyProtection="1">
      <alignment horizontal="left" vertical="top"/>
      <protection/>
    </xf>
    <xf numFmtId="0" fontId="0" fillId="30" borderId="95" xfId="0" applyNumberFormat="1" applyFont="1" applyFill="1" applyBorder="1" applyAlignment="1" applyProtection="1">
      <alignment horizontal="left" vertical="top"/>
      <protection/>
    </xf>
    <xf numFmtId="0" fontId="0" fillId="30" borderId="18" xfId="0" applyNumberFormat="1" applyFont="1" applyFill="1" applyBorder="1" applyAlignment="1" applyProtection="1">
      <alignment horizontal="left" vertical="top"/>
      <protection/>
    </xf>
    <xf numFmtId="0" fontId="0" fillId="30" borderId="107" xfId="0" applyNumberFormat="1" applyFont="1" applyFill="1" applyBorder="1" applyAlignment="1" applyProtection="1">
      <alignment horizontal="left" vertical="top"/>
      <protection/>
    </xf>
    <xf numFmtId="0" fontId="0" fillId="30" borderId="93" xfId="0" applyNumberFormat="1" applyFont="1" applyFill="1" applyBorder="1" applyAlignment="1" applyProtection="1">
      <alignment horizontal="left" vertical="top"/>
      <protection/>
    </xf>
    <xf numFmtId="0" fontId="0" fillId="30" borderId="14" xfId="0" applyNumberFormat="1" applyFont="1" applyFill="1" applyBorder="1" applyAlignment="1" applyProtection="1">
      <alignment horizontal="left" vertical="top"/>
      <protection/>
    </xf>
    <xf numFmtId="0" fontId="0" fillId="24" borderId="109" xfId="0" applyNumberFormat="1" applyFont="1" applyFill="1" applyBorder="1" applyAlignment="1" applyProtection="1">
      <alignment horizontal="left" vertical="top"/>
      <protection/>
    </xf>
    <xf numFmtId="0" fontId="0" fillId="24" borderId="95" xfId="0" applyNumberFormat="1" applyFont="1" applyFill="1" applyBorder="1" applyAlignment="1" applyProtection="1">
      <alignment horizontal="left" vertical="top"/>
      <protection/>
    </xf>
    <xf numFmtId="0" fontId="0" fillId="24" borderId="18" xfId="0" applyNumberFormat="1" applyFont="1" applyFill="1" applyBorder="1" applyAlignment="1" applyProtection="1">
      <alignment horizontal="left" vertical="top"/>
      <protection/>
    </xf>
    <xf numFmtId="0" fontId="0" fillId="24" borderId="114" xfId="0" applyNumberFormat="1" applyFont="1" applyFill="1" applyBorder="1" applyAlignment="1" applyProtection="1">
      <alignment horizontal="left" vertical="top"/>
      <protection/>
    </xf>
    <xf numFmtId="0" fontId="0" fillId="24" borderId="110" xfId="0" applyNumberFormat="1" applyFont="1" applyFill="1" applyBorder="1" applyAlignment="1" applyProtection="1">
      <alignment horizontal="left" vertical="top"/>
      <protection/>
    </xf>
    <xf numFmtId="0" fontId="0" fillId="24" borderId="111" xfId="0" applyNumberFormat="1" applyFont="1" applyFill="1" applyBorder="1" applyAlignment="1" applyProtection="1">
      <alignment horizontal="left" vertical="top"/>
      <protection/>
    </xf>
    <xf numFmtId="0" fontId="0" fillId="24" borderId="94" xfId="0" applyNumberFormat="1" applyFont="1" applyFill="1" applyBorder="1" applyAlignment="1" applyProtection="1">
      <alignment horizontal="left" vertical="top"/>
      <protection/>
    </xf>
    <xf numFmtId="0" fontId="0" fillId="0" borderId="10" xfId="0" applyNumberFormat="1" applyBorder="1" applyAlignment="1" applyProtection="1">
      <alignment horizontal="left" vertical="top"/>
      <protection/>
    </xf>
    <xf numFmtId="0" fontId="0" fillId="0" borderId="41" xfId="0" applyNumberFormat="1" applyBorder="1" applyAlignment="1" applyProtection="1">
      <alignment horizontal="left" vertical="top"/>
      <protection/>
    </xf>
    <xf numFmtId="0" fontId="28" fillId="24" borderId="0" xfId="0" applyFont="1" applyFill="1" applyAlignment="1" applyProtection="1">
      <alignment horizontal="left" vertical="center" wrapText="1"/>
      <protection/>
    </xf>
    <xf numFmtId="0" fontId="28" fillId="24" borderId="19" xfId="0" applyFont="1" applyFill="1" applyBorder="1" applyAlignment="1" applyProtection="1">
      <alignment horizontal="left" vertical="center" wrapText="1"/>
      <protection/>
    </xf>
    <xf numFmtId="0" fontId="0" fillId="24" borderId="107" xfId="0" applyNumberFormat="1" applyFont="1" applyFill="1" applyBorder="1" applyAlignment="1" applyProtection="1">
      <alignment horizontal="left" vertical="top"/>
      <protection/>
    </xf>
    <xf numFmtId="0" fontId="0" fillId="24" borderId="93" xfId="0" applyNumberFormat="1" applyFont="1" applyFill="1" applyBorder="1" applyAlignment="1" applyProtection="1">
      <alignment horizontal="left" vertical="top"/>
      <protection/>
    </xf>
    <xf numFmtId="0" fontId="0" fillId="24" borderId="14" xfId="0" applyNumberFormat="1" applyFont="1" applyFill="1" applyBorder="1" applyAlignment="1" applyProtection="1">
      <alignment horizontal="left" vertical="top"/>
      <protection/>
    </xf>
    <xf numFmtId="0" fontId="0" fillId="24" borderId="108" xfId="0" applyNumberFormat="1" applyFont="1" applyFill="1" applyBorder="1" applyAlignment="1" applyProtection="1">
      <alignment horizontal="left" vertical="top"/>
      <protection/>
    </xf>
    <xf numFmtId="0" fontId="0" fillId="24" borderId="92" xfId="0" applyNumberFormat="1" applyFont="1" applyFill="1" applyBorder="1" applyAlignment="1" applyProtection="1">
      <alignment horizontal="left" vertical="top"/>
      <protection/>
    </xf>
    <xf numFmtId="0" fontId="0" fillId="24" borderId="15" xfId="0" applyNumberFormat="1" applyFont="1" applyFill="1" applyBorder="1" applyAlignment="1" applyProtection="1">
      <alignment horizontal="left" vertical="top"/>
      <protection/>
    </xf>
    <xf numFmtId="0" fontId="0" fillId="30" borderId="108" xfId="0" applyNumberFormat="1" applyFont="1" applyFill="1" applyBorder="1" applyAlignment="1" applyProtection="1">
      <alignment horizontal="left" vertical="top"/>
      <protection/>
    </xf>
    <xf numFmtId="0" fontId="0" fillId="30" borderId="92" xfId="0" applyNumberFormat="1" applyFont="1" applyFill="1" applyBorder="1" applyAlignment="1" applyProtection="1">
      <alignment horizontal="left" vertical="top"/>
      <protection/>
    </xf>
    <xf numFmtId="0" fontId="0" fillId="30" borderId="15" xfId="0" applyNumberFormat="1" applyFont="1" applyFill="1" applyBorder="1" applyAlignment="1" applyProtection="1">
      <alignment horizontal="left" vertical="top"/>
      <protection/>
    </xf>
    <xf numFmtId="0" fontId="3" fillId="30" borderId="37" xfId="0" applyFont="1" applyFill="1" applyBorder="1" applyAlignment="1" applyProtection="1">
      <alignment horizontal="center" vertical="center"/>
      <protection/>
    </xf>
    <xf numFmtId="0" fontId="3" fillId="24" borderId="94" xfId="0" applyNumberFormat="1" applyFont="1" applyFill="1" applyBorder="1" applyAlignment="1" applyProtection="1">
      <alignment horizontal="left" wrapText="1"/>
      <protection/>
    </xf>
    <xf numFmtId="0" fontId="3" fillId="24" borderId="10" xfId="0" applyNumberFormat="1" applyFont="1" applyFill="1" applyBorder="1" applyAlignment="1" applyProtection="1">
      <alignment horizontal="left" wrapText="1"/>
      <protection/>
    </xf>
    <xf numFmtId="0" fontId="3" fillId="24" borderId="41" xfId="0" applyNumberFormat="1" applyFont="1" applyFill="1" applyBorder="1" applyAlignment="1" applyProtection="1">
      <alignment horizontal="left" wrapText="1"/>
      <protection/>
    </xf>
    <xf numFmtId="0" fontId="0" fillId="30" borderId="106" xfId="0" applyNumberFormat="1" applyFont="1" applyFill="1" applyBorder="1" applyAlignment="1" applyProtection="1">
      <alignment horizontal="left" vertical="top"/>
      <protection/>
    </xf>
    <xf numFmtId="0" fontId="0" fillId="30" borderId="91" xfId="0" applyNumberFormat="1" applyFont="1" applyFill="1" applyBorder="1" applyAlignment="1" applyProtection="1">
      <alignment horizontal="left" vertical="top"/>
      <protection/>
    </xf>
    <xf numFmtId="0" fontId="0" fillId="30" borderId="13" xfId="0" applyNumberFormat="1" applyFont="1" applyFill="1" applyBorder="1" applyAlignment="1" applyProtection="1">
      <alignment horizontal="left" vertical="top"/>
      <protection/>
    </xf>
    <xf numFmtId="0" fontId="3" fillId="24" borderId="41" xfId="0" applyNumberFormat="1" applyFont="1" applyFill="1" applyBorder="1" applyAlignment="1" applyProtection="1">
      <alignment wrapText="1"/>
      <protection/>
    </xf>
    <xf numFmtId="0" fontId="0" fillId="28" borderId="109" xfId="0" applyNumberFormat="1" applyFont="1" applyFill="1" applyBorder="1" applyAlignment="1" applyProtection="1">
      <alignment horizontal="left" vertical="top"/>
      <protection locked="0"/>
    </xf>
    <xf numFmtId="0" fontId="0" fillId="28" borderId="95" xfId="0" applyNumberFormat="1" applyFont="1" applyFill="1" applyBorder="1" applyAlignment="1" applyProtection="1">
      <alignment horizontal="left" vertical="top"/>
      <protection locked="0"/>
    </xf>
    <xf numFmtId="0" fontId="0" fillId="28" borderId="18" xfId="0" applyNumberFormat="1" applyFont="1" applyFill="1" applyBorder="1" applyAlignment="1" applyProtection="1">
      <alignment horizontal="left" vertical="top"/>
      <protection locked="0"/>
    </xf>
    <xf numFmtId="0" fontId="29" fillId="4" borderId="64" xfId="0" applyFont="1" applyFill="1" applyBorder="1" applyAlignment="1" applyProtection="1">
      <alignment horizontal="center" vertical="center" wrapText="1"/>
      <protection/>
    </xf>
    <xf numFmtId="0" fontId="29" fillId="4" borderId="65" xfId="0" applyFont="1" applyFill="1" applyBorder="1" applyAlignment="1" applyProtection="1">
      <alignment horizontal="center" vertical="center" wrapText="1"/>
      <protection/>
    </xf>
    <xf numFmtId="0" fontId="29" fillId="4" borderId="66" xfId="0" applyFont="1" applyFill="1" applyBorder="1" applyAlignment="1" applyProtection="1">
      <alignment horizontal="center" vertical="center" wrapText="1"/>
      <protection/>
    </xf>
    <xf numFmtId="0" fontId="0" fillId="31" borderId="107" xfId="0" applyNumberFormat="1" applyFont="1" applyFill="1" applyBorder="1" applyAlignment="1" applyProtection="1">
      <alignment horizontal="left" vertical="center"/>
      <protection/>
    </xf>
    <xf numFmtId="0" fontId="0" fillId="31" borderId="93" xfId="0" applyNumberFormat="1" applyFont="1" applyFill="1" applyBorder="1" applyAlignment="1" applyProtection="1">
      <alignment horizontal="left" vertical="center"/>
      <protection/>
    </xf>
    <xf numFmtId="0" fontId="0" fillId="31" borderId="134" xfId="0" applyNumberFormat="1" applyFont="1" applyFill="1" applyBorder="1" applyAlignment="1" applyProtection="1">
      <alignment horizontal="left" vertical="center"/>
      <protection/>
    </xf>
    <xf numFmtId="0" fontId="28" fillId="24" borderId="0" xfId="0" applyFont="1" applyFill="1" applyAlignment="1" applyProtection="1">
      <alignment vertical="center" wrapText="1"/>
      <protection/>
    </xf>
    <xf numFmtId="0" fontId="0" fillId="30" borderId="107" xfId="0" applyNumberFormat="1" applyFont="1" applyFill="1" applyBorder="1" applyAlignment="1" applyProtection="1">
      <alignment horizontal="left" vertical="center"/>
      <protection/>
    </xf>
    <xf numFmtId="0" fontId="0" fillId="30" borderId="93" xfId="0" applyNumberFormat="1" applyFont="1" applyFill="1" applyBorder="1" applyAlignment="1" applyProtection="1">
      <alignment horizontal="left" vertical="center"/>
      <protection/>
    </xf>
    <xf numFmtId="0" fontId="0" fillId="30" borderId="134" xfId="0" applyNumberFormat="1" applyFont="1" applyFill="1" applyBorder="1" applyAlignment="1" applyProtection="1">
      <alignment horizontal="left" vertical="center"/>
      <protection/>
    </xf>
    <xf numFmtId="0" fontId="3" fillId="30" borderId="64" xfId="0" applyFont="1" applyFill="1" applyBorder="1" applyAlignment="1" applyProtection="1">
      <alignment horizontal="center" vertical="center" wrapText="1"/>
      <protection/>
    </xf>
    <xf numFmtId="0" fontId="3" fillId="30" borderId="65" xfId="0" applyFont="1" applyFill="1" applyBorder="1" applyAlignment="1" applyProtection="1">
      <alignment horizontal="center" vertical="center" wrapText="1"/>
      <protection/>
    </xf>
    <xf numFmtId="0" fontId="3" fillId="30" borderId="66" xfId="0" applyFont="1" applyFill="1" applyBorder="1" applyAlignment="1" applyProtection="1">
      <alignment horizontal="center" vertical="center" wrapText="1"/>
      <protection/>
    </xf>
    <xf numFmtId="0" fontId="0" fillId="31" borderId="135" xfId="0" applyNumberFormat="1" applyFont="1" applyFill="1" applyBorder="1" applyAlignment="1" applyProtection="1">
      <alignment horizontal="left" vertical="center"/>
      <protection/>
    </xf>
    <xf numFmtId="0" fontId="0" fillId="31" borderId="120" xfId="0" applyNumberFormat="1" applyFont="1" applyFill="1" applyBorder="1" applyAlignment="1" applyProtection="1">
      <alignment horizontal="left" vertical="center"/>
      <protection/>
    </xf>
    <xf numFmtId="0" fontId="0" fillId="31" borderId="136" xfId="0" applyNumberFormat="1" applyFont="1" applyFill="1" applyBorder="1" applyAlignment="1" applyProtection="1">
      <alignment horizontal="left" vertical="center"/>
      <protection/>
    </xf>
    <xf numFmtId="0" fontId="0" fillId="31" borderId="109" xfId="0" applyNumberFormat="1" applyFont="1" applyFill="1" applyBorder="1" applyAlignment="1" applyProtection="1">
      <alignment horizontal="left" vertical="center"/>
      <protection/>
    </xf>
    <xf numFmtId="0" fontId="0" fillId="31" borderId="95" xfId="0" applyNumberFormat="1" applyFont="1" applyFill="1" applyBorder="1" applyAlignment="1" applyProtection="1">
      <alignment horizontal="left" vertical="center"/>
      <protection/>
    </xf>
    <xf numFmtId="0" fontId="0" fillId="31" borderId="137" xfId="0" applyNumberFormat="1" applyFont="1" applyFill="1" applyBorder="1" applyAlignment="1" applyProtection="1">
      <alignment horizontal="left" vertical="center"/>
      <protection/>
    </xf>
    <xf numFmtId="0" fontId="0" fillId="30" borderId="108" xfId="0" applyNumberFormat="1" applyFont="1" applyFill="1" applyBorder="1" applyAlignment="1" applyProtection="1">
      <alignment horizontal="left" vertical="center"/>
      <protection/>
    </xf>
    <xf numFmtId="0" fontId="0" fillId="30" borderId="92" xfId="0" applyNumberFormat="1" applyFont="1" applyFill="1" applyBorder="1" applyAlignment="1" applyProtection="1">
      <alignment horizontal="left" vertical="center"/>
      <protection/>
    </xf>
    <xf numFmtId="0" fontId="0" fillId="30" borderId="138" xfId="0" applyNumberFormat="1" applyFont="1" applyFill="1" applyBorder="1" applyAlignment="1" applyProtection="1">
      <alignment horizontal="left" vertical="center"/>
      <protection/>
    </xf>
    <xf numFmtId="0" fontId="3" fillId="24" borderId="88" xfId="0" applyNumberFormat="1" applyFont="1" applyFill="1" applyBorder="1" applyAlignment="1" applyProtection="1">
      <alignment horizontal="left" wrapText="1"/>
      <protection/>
    </xf>
    <xf numFmtId="0" fontId="3" fillId="24" borderId="0" xfId="0" applyNumberFormat="1" applyFont="1" applyFill="1" applyBorder="1" applyAlignment="1" applyProtection="1">
      <alignment horizontal="left" wrapText="1"/>
      <protection/>
    </xf>
    <xf numFmtId="0" fontId="0" fillId="24" borderId="114" xfId="0" applyNumberFormat="1" applyFont="1" applyFill="1" applyBorder="1" applyAlignment="1" applyProtection="1">
      <alignment horizontal="left" vertical="center"/>
      <protection/>
    </xf>
    <xf numFmtId="0" fontId="0" fillId="24" borderId="110" xfId="0" applyNumberFormat="1" applyFont="1" applyFill="1" applyBorder="1" applyAlignment="1" applyProtection="1">
      <alignment horizontal="left" vertical="center"/>
      <protection/>
    </xf>
    <xf numFmtId="0" fontId="0" fillId="24" borderId="126" xfId="0" applyNumberFormat="1" applyFont="1" applyFill="1" applyBorder="1" applyAlignment="1" applyProtection="1">
      <alignment horizontal="left" vertical="center"/>
      <protection/>
    </xf>
    <xf numFmtId="0" fontId="0" fillId="30" borderId="139" xfId="0" applyNumberFormat="1" applyFont="1" applyFill="1" applyBorder="1" applyAlignment="1" applyProtection="1">
      <alignment horizontal="left" vertical="center"/>
      <protection/>
    </xf>
    <xf numFmtId="0" fontId="0" fillId="30" borderId="82" xfId="0" applyNumberFormat="1" applyFont="1" applyFill="1" applyBorder="1" applyAlignment="1" applyProtection="1">
      <alignment horizontal="left" vertical="center"/>
      <protection/>
    </xf>
    <xf numFmtId="0" fontId="0" fillId="30" borderId="84" xfId="0" applyNumberFormat="1" applyFont="1" applyFill="1" applyBorder="1" applyAlignment="1" applyProtection="1">
      <alignment horizontal="left" vertical="center"/>
      <protection/>
    </xf>
    <xf numFmtId="0" fontId="0" fillId="0" borderId="0" xfId="0" applyAlignment="1" applyProtection="1">
      <alignment vertical="center" wrapText="1"/>
      <protection/>
    </xf>
    <xf numFmtId="0" fontId="92" fillId="30" borderId="0" xfId="0" applyFont="1" applyFill="1" applyAlignment="1" applyProtection="1">
      <alignment horizontal="left" vertical="top" wrapText="1"/>
      <protection/>
    </xf>
    <xf numFmtId="0" fontId="78" fillId="24" borderId="107" xfId="0" applyNumberFormat="1" applyFont="1" applyFill="1" applyBorder="1" applyAlignment="1" applyProtection="1">
      <alignment horizontal="left" vertical="top"/>
      <protection/>
    </xf>
    <xf numFmtId="0" fontId="78" fillId="24" borderId="93" xfId="0" applyNumberFormat="1" applyFont="1" applyFill="1" applyBorder="1" applyAlignment="1" applyProtection="1">
      <alignment horizontal="left" vertical="top"/>
      <protection/>
    </xf>
    <xf numFmtId="0" fontId="78" fillId="24" borderId="14" xfId="0" applyNumberFormat="1" applyFont="1" applyFill="1" applyBorder="1" applyAlignment="1" applyProtection="1">
      <alignment horizontal="left" vertical="top"/>
      <protection/>
    </xf>
    <xf numFmtId="0" fontId="78" fillId="24" borderId="108" xfId="0" applyNumberFormat="1" applyFont="1" applyFill="1" applyBorder="1" applyAlignment="1" applyProtection="1">
      <alignment horizontal="left" vertical="top"/>
      <protection/>
    </xf>
    <xf numFmtId="0" fontId="78" fillId="24" borderId="92" xfId="0" applyNumberFormat="1" applyFont="1" applyFill="1" applyBorder="1" applyAlignment="1" applyProtection="1">
      <alignment horizontal="left" vertical="top"/>
      <protection/>
    </xf>
    <xf numFmtId="0" fontId="78" fillId="24" borderId="15" xfId="0" applyNumberFormat="1" applyFont="1" applyFill="1" applyBorder="1" applyAlignment="1" applyProtection="1">
      <alignment horizontal="left" vertical="top"/>
      <protection/>
    </xf>
    <xf numFmtId="0" fontId="77" fillId="24" borderId="0" xfId="0" applyFont="1" applyFill="1" applyAlignment="1" applyProtection="1">
      <alignment horizontal="left" vertical="center" wrapText="1"/>
      <protection/>
    </xf>
    <xf numFmtId="0" fontId="77" fillId="24" borderId="19" xfId="0" applyFont="1" applyFill="1" applyBorder="1" applyAlignment="1" applyProtection="1">
      <alignment horizontal="left" vertical="center" wrapText="1"/>
      <protection/>
    </xf>
    <xf numFmtId="0" fontId="79" fillId="30" borderId="64" xfId="0" applyFont="1" applyFill="1" applyBorder="1" applyAlignment="1" applyProtection="1">
      <alignment horizontal="center" vertical="center" wrapText="1"/>
      <protection/>
    </xf>
    <xf numFmtId="0" fontId="79" fillId="30" borderId="65" xfId="0" applyFont="1" applyFill="1" applyBorder="1" applyAlignment="1" applyProtection="1">
      <alignment horizontal="center" vertical="center" wrapText="1"/>
      <protection/>
    </xf>
    <xf numFmtId="0" fontId="79" fillId="30" borderId="66" xfId="0" applyFont="1" applyFill="1" applyBorder="1" applyAlignment="1" applyProtection="1">
      <alignment horizontal="center" vertical="center" wrapText="1"/>
      <protection/>
    </xf>
    <xf numFmtId="0" fontId="78" fillId="30" borderId="107" xfId="0" applyNumberFormat="1" applyFont="1" applyFill="1" applyBorder="1" applyAlignment="1" applyProtection="1">
      <alignment horizontal="left" vertical="top"/>
      <protection/>
    </xf>
    <xf numFmtId="0" fontId="78" fillId="30" borderId="93" xfId="0" applyNumberFormat="1" applyFont="1" applyFill="1" applyBorder="1" applyAlignment="1" applyProtection="1">
      <alignment horizontal="left" vertical="top"/>
      <protection/>
    </xf>
    <xf numFmtId="0" fontId="78" fillId="30" borderId="14" xfId="0" applyNumberFormat="1" applyFont="1" applyFill="1" applyBorder="1" applyAlignment="1" applyProtection="1">
      <alignment horizontal="left" vertical="top"/>
      <protection/>
    </xf>
    <xf numFmtId="0" fontId="78" fillId="30" borderId="108" xfId="0" applyNumberFormat="1" applyFont="1" applyFill="1" applyBorder="1" applyAlignment="1" applyProtection="1">
      <alignment horizontal="left" vertical="top"/>
      <protection/>
    </xf>
    <xf numFmtId="0" fontId="78" fillId="30" borderId="92" xfId="0" applyNumberFormat="1" applyFont="1" applyFill="1" applyBorder="1" applyAlignment="1" applyProtection="1">
      <alignment horizontal="left" vertical="top"/>
      <protection/>
    </xf>
    <xf numFmtId="0" fontId="78" fillId="30" borderId="15" xfId="0" applyNumberFormat="1" applyFont="1" applyFill="1" applyBorder="1" applyAlignment="1" applyProtection="1">
      <alignment horizontal="left" vertical="top"/>
      <protection/>
    </xf>
    <xf numFmtId="0" fontId="78" fillId="24" borderId="109" xfId="0" applyNumberFormat="1" applyFont="1" applyFill="1" applyBorder="1" applyAlignment="1" applyProtection="1">
      <alignment horizontal="left" vertical="top"/>
      <protection/>
    </xf>
    <xf numFmtId="0" fontId="78" fillId="24" borderId="95" xfId="0" applyNumberFormat="1" applyFont="1" applyFill="1" applyBorder="1" applyAlignment="1" applyProtection="1">
      <alignment horizontal="left" vertical="top"/>
      <protection/>
    </xf>
    <xf numFmtId="0" fontId="78" fillId="24" borderId="18" xfId="0" applyNumberFormat="1" applyFont="1" applyFill="1" applyBorder="1" applyAlignment="1" applyProtection="1">
      <alignment horizontal="left" vertical="top"/>
      <protection/>
    </xf>
    <xf numFmtId="0" fontId="78" fillId="24" borderId="114" xfId="0" applyNumberFormat="1" applyFont="1" applyFill="1" applyBorder="1" applyAlignment="1" applyProtection="1">
      <alignment horizontal="left" vertical="top"/>
      <protection/>
    </xf>
    <xf numFmtId="0" fontId="78" fillId="24" borderId="110" xfId="0" applyNumberFormat="1" applyFont="1" applyFill="1" applyBorder="1" applyAlignment="1" applyProtection="1">
      <alignment horizontal="left" vertical="top"/>
      <protection/>
    </xf>
    <xf numFmtId="0" fontId="78" fillId="24" borderId="111" xfId="0" applyNumberFormat="1" applyFont="1" applyFill="1" applyBorder="1" applyAlignment="1" applyProtection="1">
      <alignment horizontal="left" vertical="top"/>
      <protection/>
    </xf>
    <xf numFmtId="0" fontId="78" fillId="24" borderId="94" xfId="0" applyNumberFormat="1" applyFont="1" applyFill="1" applyBorder="1" applyAlignment="1" applyProtection="1">
      <alignment horizontal="left" vertical="top"/>
      <protection/>
    </xf>
    <xf numFmtId="0" fontId="78" fillId="0" borderId="10" xfId="0" applyNumberFormat="1" applyFont="1" applyBorder="1" applyAlignment="1" applyProtection="1">
      <alignment horizontal="left" vertical="top"/>
      <protection/>
    </xf>
    <xf numFmtId="0" fontId="78" fillId="0" borderId="41" xfId="0" applyNumberFormat="1" applyFont="1" applyBorder="1" applyAlignment="1" applyProtection="1">
      <alignment horizontal="left" vertical="top"/>
      <protection/>
    </xf>
    <xf numFmtId="0" fontId="77" fillId="24" borderId="0" xfId="0" applyFont="1" applyFill="1" applyAlignment="1" applyProtection="1">
      <alignment vertical="center" wrapText="1"/>
      <protection/>
    </xf>
    <xf numFmtId="0" fontId="78" fillId="0" borderId="0" xfId="0" applyFont="1" applyAlignment="1" applyProtection="1">
      <alignment vertical="center" wrapText="1"/>
      <protection/>
    </xf>
    <xf numFmtId="0" fontId="79" fillId="24" borderId="94" xfId="0" applyNumberFormat="1" applyFont="1" applyFill="1" applyBorder="1" applyAlignment="1" applyProtection="1">
      <alignment horizontal="left" wrapText="1"/>
      <protection/>
    </xf>
    <xf numFmtId="0" fontId="79" fillId="24" borderId="10" xfId="0" applyNumberFormat="1" applyFont="1" applyFill="1" applyBorder="1" applyAlignment="1" applyProtection="1">
      <alignment horizontal="left" wrapText="1"/>
      <protection/>
    </xf>
    <xf numFmtId="0" fontId="79" fillId="24" borderId="41" xfId="0" applyNumberFormat="1" applyFont="1" applyFill="1" applyBorder="1" applyAlignment="1" applyProtection="1">
      <alignment horizontal="left" wrapText="1"/>
      <protection/>
    </xf>
    <xf numFmtId="0" fontId="78" fillId="30" borderId="106" xfId="0" applyNumberFormat="1" applyFont="1" applyFill="1" applyBorder="1" applyAlignment="1" applyProtection="1">
      <alignment horizontal="left" vertical="top"/>
      <protection/>
    </xf>
    <xf numFmtId="0" fontId="78" fillId="30" borderId="91" xfId="0" applyNumberFormat="1" applyFont="1" applyFill="1" applyBorder="1" applyAlignment="1" applyProtection="1">
      <alignment horizontal="left" vertical="top"/>
      <protection/>
    </xf>
    <xf numFmtId="0" fontId="78" fillId="30" borderId="13" xfId="0" applyNumberFormat="1" applyFont="1" applyFill="1" applyBorder="1" applyAlignment="1" applyProtection="1">
      <alignment horizontal="left" vertical="top"/>
      <protection/>
    </xf>
    <xf numFmtId="0" fontId="79" fillId="31" borderId="94" xfId="0" applyNumberFormat="1" applyFont="1" applyFill="1" applyBorder="1" applyAlignment="1" applyProtection="1">
      <alignment wrapText="1"/>
      <protection/>
    </xf>
    <xf numFmtId="0" fontId="79" fillId="31" borderId="10" xfId="0" applyNumberFormat="1" applyFont="1" applyFill="1" applyBorder="1" applyAlignment="1" applyProtection="1">
      <alignment wrapText="1"/>
      <protection/>
    </xf>
    <xf numFmtId="0" fontId="79" fillId="31" borderId="41" xfId="0" applyNumberFormat="1" applyFont="1" applyFill="1" applyBorder="1" applyAlignment="1" applyProtection="1">
      <alignment wrapText="1"/>
      <protection/>
    </xf>
    <xf numFmtId="0" fontId="78" fillId="30" borderId="139" xfId="0" applyNumberFormat="1" applyFont="1" applyFill="1" applyBorder="1" applyAlignment="1" applyProtection="1">
      <alignment horizontal="left" vertical="top"/>
      <protection/>
    </xf>
    <xf numFmtId="0" fontId="78" fillId="30" borderId="82" xfId="0" applyNumberFormat="1" applyFont="1" applyFill="1" applyBorder="1" applyAlignment="1" applyProtection="1">
      <alignment horizontal="left" vertical="top"/>
      <protection/>
    </xf>
    <xf numFmtId="0" fontId="78" fillId="30" borderId="83" xfId="0" applyNumberFormat="1" applyFont="1" applyFill="1" applyBorder="1" applyAlignment="1" applyProtection="1">
      <alignment horizontal="left" vertical="top"/>
      <protection/>
    </xf>
    <xf numFmtId="0" fontId="0" fillId="4" borderId="86" xfId="0" applyNumberFormat="1" applyFont="1" applyFill="1" applyBorder="1" applyAlignment="1" applyProtection="1">
      <alignment vertical="top" wrapText="1"/>
      <protection/>
    </xf>
    <xf numFmtId="0" fontId="0" fillId="0" borderId="30" xfId="0" applyBorder="1" applyAlignment="1" applyProtection="1">
      <alignment vertical="top" wrapText="1"/>
      <protection/>
    </xf>
    <xf numFmtId="0" fontId="2" fillId="26" borderId="0" xfId="0" applyFont="1" applyFill="1" applyBorder="1" applyAlignment="1" applyProtection="1">
      <alignment vertical="center" wrapText="1"/>
      <protection/>
    </xf>
    <xf numFmtId="0" fontId="0" fillId="0" borderId="32" xfId="0" applyBorder="1" applyAlignment="1" applyProtection="1">
      <alignment vertical="top" wrapText="1"/>
      <protection/>
    </xf>
    <xf numFmtId="0" fontId="0" fillId="30" borderId="86" xfId="0" applyNumberFormat="1" applyFont="1" applyFill="1" applyBorder="1" applyAlignment="1" applyProtection="1">
      <alignment horizontal="center" vertical="top"/>
      <protection/>
    </xf>
    <xf numFmtId="0" fontId="0" fillId="30" borderId="30" xfId="0" applyNumberFormat="1" applyFont="1" applyFill="1" applyBorder="1" applyAlignment="1" applyProtection="1">
      <alignment horizontal="center" vertical="top"/>
      <protection/>
    </xf>
    <xf numFmtId="0" fontId="0" fillId="4" borderId="11" xfId="0" applyNumberFormat="1" applyFont="1" applyFill="1" applyBorder="1" applyAlignment="1" applyProtection="1">
      <alignment horizontal="left" vertical="center" wrapText="1"/>
      <protection/>
    </xf>
    <xf numFmtId="0" fontId="0" fillId="4" borderId="86" xfId="0" applyFont="1" applyFill="1" applyBorder="1" applyAlignment="1" applyProtection="1">
      <alignment vertical="top" wrapText="1"/>
      <protection/>
    </xf>
    <xf numFmtId="0" fontId="0" fillId="24" borderId="94" xfId="0" applyNumberFormat="1" applyFont="1" applyFill="1" applyBorder="1" applyAlignment="1" applyProtection="1">
      <alignment vertical="top" wrapText="1"/>
      <protection/>
    </xf>
    <xf numFmtId="0" fontId="0" fillId="24" borderId="10" xfId="0" applyNumberFormat="1" applyFont="1" applyFill="1" applyBorder="1" applyAlignment="1" applyProtection="1">
      <alignment vertical="top" wrapText="1"/>
      <protection/>
    </xf>
    <xf numFmtId="0" fontId="0" fillId="24" borderId="41" xfId="0" applyNumberFormat="1" applyFont="1" applyFill="1" applyBorder="1" applyAlignment="1" applyProtection="1">
      <alignment vertical="top" wrapText="1"/>
      <protection/>
    </xf>
    <xf numFmtId="0" fontId="0" fillId="0" borderId="32" xfId="0" applyNumberFormat="1" applyBorder="1" applyAlignment="1" applyProtection="1">
      <alignment vertical="top" wrapText="1"/>
      <protection/>
    </xf>
    <xf numFmtId="0" fontId="0" fillId="0" borderId="30" xfId="0" applyNumberFormat="1" applyBorder="1" applyAlignment="1" applyProtection="1">
      <alignment vertical="top" wrapText="1"/>
      <protection/>
    </xf>
    <xf numFmtId="0" fontId="0" fillId="4" borderId="86" xfId="0" applyNumberFormat="1" applyFont="1" applyFill="1" applyBorder="1" applyAlignment="1" applyProtection="1">
      <alignment horizontal="left" vertical="top" wrapText="1"/>
      <protection/>
    </xf>
    <xf numFmtId="0" fontId="0" fillId="0" borderId="32" xfId="0" applyNumberFormat="1" applyBorder="1" applyAlignment="1" applyProtection="1">
      <alignment horizontal="left" vertical="top" wrapText="1"/>
      <protection/>
    </xf>
    <xf numFmtId="0" fontId="0" fillId="0" borderId="30" xfId="0" applyNumberFormat="1" applyBorder="1" applyAlignment="1" applyProtection="1">
      <alignment horizontal="left" vertical="top" wrapText="1"/>
      <protection/>
    </xf>
    <xf numFmtId="0" fontId="0" fillId="4" borderId="32" xfId="0" applyNumberFormat="1" applyFont="1" applyFill="1" applyBorder="1" applyAlignment="1" applyProtection="1">
      <alignment vertical="top" wrapText="1"/>
      <protection/>
    </xf>
    <xf numFmtId="0" fontId="0" fillId="4" borderId="30" xfId="0" applyNumberFormat="1" applyFont="1" applyFill="1" applyBorder="1" applyAlignment="1" applyProtection="1">
      <alignment vertical="top" wrapText="1"/>
      <protection/>
    </xf>
    <xf numFmtId="0" fontId="93" fillId="24" borderId="0" xfId="0" applyFont="1" applyFill="1" applyAlignment="1" applyProtection="1">
      <alignment horizontal="left" vertical="top" wrapText="1"/>
      <protection/>
    </xf>
    <xf numFmtId="0" fontId="94" fillId="24" borderId="0" xfId="0" applyFont="1" applyFill="1" applyAlignment="1" applyProtection="1">
      <alignment horizontal="left" vertical="top" wrapText="1"/>
      <protection/>
    </xf>
    <xf numFmtId="0" fontId="30" fillId="21" borderId="0" xfId="50" applyFont="1" applyFill="1" applyAlignment="1" applyProtection="1">
      <alignment vertical="top" wrapText="1"/>
      <protection/>
    </xf>
    <xf numFmtId="0" fontId="30" fillId="21" borderId="0" xfId="50" applyNumberFormat="1" applyFont="1" applyFill="1" applyBorder="1" applyAlignment="1" applyProtection="1">
      <alignment vertical="top" wrapText="1"/>
      <protection/>
    </xf>
    <xf numFmtId="0" fontId="0" fillId="23" borderId="93" xfId="0" applyFont="1" applyFill="1" applyBorder="1" applyAlignment="1" applyProtection="1">
      <alignment horizontal="left" vertical="top"/>
      <protection locked="0"/>
    </xf>
    <xf numFmtId="0" fontId="0" fillId="23" borderId="14" xfId="0" applyFill="1" applyBorder="1" applyAlignment="1" applyProtection="1">
      <alignment horizontal="left" vertical="top"/>
      <protection locked="0"/>
    </xf>
    <xf numFmtId="0" fontId="0" fillId="23" borderId="107" xfId="0" applyFont="1" applyFill="1" applyBorder="1" applyAlignment="1" applyProtection="1">
      <alignment horizontal="left" vertical="top"/>
      <protection locked="0"/>
    </xf>
    <xf numFmtId="0" fontId="0" fillId="23" borderId="93" xfId="0" applyFill="1" applyBorder="1" applyAlignment="1" applyProtection="1">
      <alignment horizontal="left" vertical="top"/>
      <protection locked="0"/>
    </xf>
    <xf numFmtId="0" fontId="0" fillId="23" borderId="108" xfId="0" applyFont="1" applyFill="1" applyBorder="1" applyAlignment="1" applyProtection="1">
      <alignment horizontal="left" vertical="top"/>
      <protection locked="0"/>
    </xf>
    <xf numFmtId="0" fontId="0" fillId="23" borderId="92" xfId="0" applyFill="1" applyBorder="1" applyAlignment="1" applyProtection="1">
      <alignment horizontal="left" vertical="top"/>
      <protection locked="0"/>
    </xf>
    <xf numFmtId="0" fontId="0" fillId="23" borderId="91" xfId="0" applyFont="1" applyFill="1" applyBorder="1" applyAlignment="1" applyProtection="1">
      <alignment horizontal="left" vertical="top"/>
      <protection locked="0"/>
    </xf>
    <xf numFmtId="0" fontId="0" fillId="23" borderId="13" xfId="0" applyFill="1" applyBorder="1" applyAlignment="1" applyProtection="1">
      <alignment horizontal="left" vertical="top"/>
      <protection locked="0"/>
    </xf>
    <xf numFmtId="0" fontId="0" fillId="23" borderId="106" xfId="0" applyFont="1" applyFill="1" applyBorder="1" applyAlignment="1" applyProtection="1">
      <alignment horizontal="left" vertical="top"/>
      <protection locked="0"/>
    </xf>
    <xf numFmtId="0" fontId="0" fillId="23" borderId="91" xfId="0" applyFill="1" applyBorder="1" applyAlignment="1" applyProtection="1">
      <alignment horizontal="left" vertical="top"/>
      <protection locked="0"/>
    </xf>
    <xf numFmtId="0" fontId="28" fillId="24" borderId="10" xfId="0" applyFont="1" applyFill="1" applyBorder="1" applyAlignment="1" applyProtection="1">
      <alignment horizontal="left" vertical="top" wrapText="1"/>
      <protection/>
    </xf>
    <xf numFmtId="0" fontId="0" fillId="23" borderId="92" xfId="0" applyFont="1" applyFill="1" applyBorder="1" applyAlignment="1" applyProtection="1">
      <alignment horizontal="left" vertical="top"/>
      <protection locked="0"/>
    </xf>
    <xf numFmtId="0" fontId="0" fillId="23" borderId="15" xfId="0" applyFill="1" applyBorder="1" applyAlignment="1" applyProtection="1">
      <alignment horizontal="left" vertical="top"/>
      <protection locked="0"/>
    </xf>
    <xf numFmtId="0" fontId="44" fillId="0" borderId="140" xfId="0" applyFont="1" applyBorder="1" applyAlignment="1" applyProtection="1">
      <alignment horizontal="center" vertical="top" wrapText="1"/>
      <protection/>
    </xf>
    <xf numFmtId="0" fontId="44" fillId="0" borderId="141" xfId="0" applyFont="1" applyBorder="1" applyAlignment="1" applyProtection="1">
      <alignment horizontal="center" vertical="top" wrapText="1"/>
      <protection/>
    </xf>
    <xf numFmtId="0" fontId="0" fillId="23" borderId="0" xfId="0" applyNumberFormat="1" applyFont="1" applyFill="1" applyBorder="1" applyAlignment="1" applyProtection="1">
      <alignment vertical="top"/>
      <protection locked="0"/>
    </xf>
  </cellXfs>
  <cellStyles count="7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Calculation" xfId="48"/>
    <cellStyle name="Check Cell" xfId="49"/>
    <cellStyle name="Hyperlink" xfId="50"/>
    <cellStyle name="Followed Hyperlink" xfId="51"/>
    <cellStyle name="Eingabe" xfId="52"/>
    <cellStyle name="Ergebnis" xfId="53"/>
    <cellStyle name="Erklärender Text" xfId="54"/>
    <cellStyle name="Explanatory Text" xfId="55"/>
    <cellStyle name="Good" xfId="56"/>
    <cellStyle name="Gut" xfId="57"/>
    <cellStyle name="Heading 1" xfId="58"/>
    <cellStyle name="Heading 2" xfId="59"/>
    <cellStyle name="Heading 3" xfId="60"/>
    <cellStyle name="Heading 4" xfId="61"/>
    <cellStyle name="Input" xfId="62"/>
    <cellStyle name="Linked Cell" xfId="63"/>
    <cellStyle name="Comma" xfId="64"/>
    <cellStyle name="Comma [0]" xfId="65"/>
    <cellStyle name="Neutral" xfId="66"/>
    <cellStyle name="Note" xfId="67"/>
    <cellStyle name="Notiz" xfId="68"/>
    <cellStyle name="Output" xfId="69"/>
    <cellStyle name="Percent" xfId="70"/>
    <cellStyle name="Schlecht" xfId="71"/>
    <cellStyle name="Standard_Outline NIMs template 10-09-30" xfId="72"/>
    <cellStyle name="Title" xfId="73"/>
    <cellStyle name="Total" xfId="74"/>
    <cellStyle name="Überschrift" xfId="75"/>
    <cellStyle name="Überschrift 1" xfId="76"/>
    <cellStyle name="Überschrift 2" xfId="77"/>
    <cellStyle name="Überschrift 3" xfId="78"/>
    <cellStyle name="Überschrift 4" xfId="79"/>
    <cellStyle name="Currency" xfId="80"/>
    <cellStyle name="Currency [0]" xfId="81"/>
    <cellStyle name="Verknüpfte Zelle" xfId="82"/>
    <cellStyle name="Warnender Text" xfId="83"/>
    <cellStyle name="Warning Text" xfId="84"/>
    <cellStyle name="Zelle überprüfen" xfId="85"/>
  </cellStyles>
  <dxfs count="4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0000"/>
        </patternFill>
      </fill>
    </dxf>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indexed="10"/>
        </patternFill>
      </fill>
    </dxf>
    <dxf>
      <fill>
        <patternFill>
          <bgColor indexed="26"/>
        </patternFill>
      </fill>
    </dxf>
    <dxf>
      <fill>
        <patternFill>
          <bgColor indexed="26"/>
        </patternFill>
      </fill>
    </dxf>
    <dxf>
      <fill>
        <patternFill>
          <bgColor indexed="13"/>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JUMP_K_I"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JUMP_A_I3" TargetMode="External" /><Relationship Id="rId6" Type="http://schemas.openxmlformats.org/officeDocument/2006/relationships/hyperlink" Target="JUMP_A_II1" TargetMode="External" /><Relationship Id="rId7" Type="http://schemas.openxmlformats.org/officeDocument/2006/relationships/hyperlink" Target="http://ec.europa.eu/eurostat/ramon/nomenclatures/index.cfm?TargetUrl=LST_CLS_DLD&amp;StrNom=NACE_1_1&amp;StrLanguageCode=EN&amp;StrLayoutCode=HIERARCHIC" TargetMode="External" /><Relationship Id="rId8" Type="http://schemas.openxmlformats.org/officeDocument/2006/relationships/hyperlink" Target="http://ec.europa.eu/eurostat/ramon/nomenclatures/index.cfm?TargetUrl=LST_CLS_DLD&amp;StrNom=NACE_REV2&amp;StrLanguageCode=EN&amp;StrLayoutCode=HIERARCHIC" TargetMode="External" /><Relationship Id="rId9" Type="http://schemas.openxmlformats.org/officeDocument/2006/relationships/hyperlink" Target="JUMP_C_III" TargetMode="External" /><Relationship Id="rId10" Type="http://schemas.openxmlformats.org/officeDocument/2006/relationships/hyperlink" Target="JUMP_D_I" TargetMode="External" /><Relationship Id="rId11" Type="http://schemas.openxmlformats.org/officeDocument/2006/relationships/hyperlink" Target="JUMP_D_II" TargetMode="External" /><Relationship Id="rId12" Type="http://schemas.openxmlformats.org/officeDocument/2006/relationships/hyperlink" Target="JUMP_D_III" TargetMode="External" /><Relationship Id="rId13" Type="http://schemas.openxmlformats.org/officeDocument/2006/relationships/hyperlink" Target="JUMP_D_III2" TargetMode="External" /><Relationship Id="rId14" Type="http://schemas.openxmlformats.org/officeDocument/2006/relationships/hyperlink" Target="JUMP_E_I" TargetMode="External" /><Relationship Id="rId15" Type="http://schemas.openxmlformats.org/officeDocument/2006/relationships/hyperlink" Target="JUMP_E_II_3" TargetMode="External" /><Relationship Id="rId16" Type="http://schemas.openxmlformats.org/officeDocument/2006/relationships/hyperlink" Target="JUMP_E_III" TargetMode="External" /><Relationship Id="rId17" Type="http://schemas.openxmlformats.org/officeDocument/2006/relationships/hyperlink" Target="http://ec.europa.eu/eurostat/ramon/nomenclatures/index.cfm?TargetUrl=LST_CLS_DLD&amp;StrNom=PRD_2007&amp;StrLanguageCode=EN&amp;StrLayoutCode" TargetMode="External" /><Relationship Id="rId18" Type="http://schemas.openxmlformats.org/officeDocument/2006/relationships/hyperlink" Target="http://ec.europa.eu/eurostat/ramon/nomenclatures/index.cfm?TargetUrl=LST_CLS_DLD&amp;StrNom=PRD_2010&amp;StrLanguageCode=EN&amp;StrLayoutCode=HIERARCHIC" TargetMode="External" /><Relationship Id="rId19" Type="http://schemas.openxmlformats.org/officeDocument/2006/relationships/hyperlink" Target="JUMP_G1" TargetMode="External" /><Relationship Id="rId20" Type="http://schemas.openxmlformats.org/officeDocument/2006/relationships/hyperlink" Target="JUMP_G2" TargetMode="External" /><Relationship Id="rId21" Type="http://schemas.openxmlformats.org/officeDocument/2006/relationships/hyperlink" Target="JUMP_G3" TargetMode="External" /><Relationship Id="rId22" Type="http://schemas.openxmlformats.org/officeDocument/2006/relationships/hyperlink" Target="JUMP_G4" TargetMode="External" /><Relationship Id="rId23" Type="http://schemas.openxmlformats.org/officeDocument/2006/relationships/hyperlink" Target="JUMP_G5" TargetMode="External" /><Relationship Id="rId24" Type="http://schemas.openxmlformats.org/officeDocument/2006/relationships/hyperlink" Target="JUMP_G6" TargetMode="External" /><Relationship Id="rId25" Type="http://schemas.openxmlformats.org/officeDocument/2006/relationships/hyperlink" Target="JUMP_K_I" TargetMode="External" /><Relationship Id="rId26" Type="http://schemas.openxmlformats.org/officeDocument/2006/relationships/hyperlink" Target="JUMP_K_III" TargetMode="External" /><Relationship Id="rId27" Type="http://schemas.openxmlformats.org/officeDocument/2006/relationships/hyperlink" Target="JUMP_K_IV" TargetMode="External" /><Relationship Id="rId28" Type="http://schemas.openxmlformats.org/officeDocument/2006/relationships/hyperlink" Target="JUMP_K_V" TargetMode="External" /><Relationship Id="rId29" Type="http://schemas.openxmlformats.org/officeDocument/2006/relationships/hyperlink" Target="JUMP_K_V_Disclaimer" TargetMode="External" /><Relationship Id="rId30" Type="http://schemas.openxmlformats.org/officeDocument/2006/relationships/hyperlink" Target="http://eur-lex.europa.eu/LexUriServ/LexUriServ.do?uri=CONSLEG:2011D0278:20111117:IT:PDF" TargetMode="External" /><Relationship Id="rId31" Type="http://schemas.openxmlformats.org/officeDocument/2006/relationships/hyperlink" Target="http://ec.europa.eu/clima/policies/ets/benchmarking/documentation_en.htm" TargetMode="External" /><Relationship Id="rId32" Type="http://schemas.openxmlformats.org/officeDocument/2006/relationships/hyperlink" Target="../../../Users/NEVERVA/AppData/Local/Microsoft/Windows/Downloads/NE%20template%20U%20Draft%20v2.0_120509%20for%20Translation.xls#JUMP_A_II_1#JUMP_A_II_1" TargetMode="External" /><Relationship Id="rId33" Type="http://schemas.openxmlformats.org/officeDocument/2006/relationships/hyperlink" Target="../../../Users/NEVERVA/AppData/Local/Microsoft/Windows/Downloads/NE%20template%20U%20Draft%20v2.0_120509%20for%20Translation.xls#JUMP_A_II_4#JUMP_A_II_4" TargetMode="External" /><Relationship Id="rId34" Type="http://schemas.openxmlformats.org/officeDocument/2006/relationships/hyperlink" Target="../../../Users/NEVERVA/AppData/Local/Microsoft/Windows/Downloads/NE%20template%20U%20Draft%20v2.0_120509%20for%20Translation.xls#JUMP_A_III#JUMP_A_III" TargetMode="External" /><Relationship Id="rId35" Type="http://schemas.openxmlformats.org/officeDocument/2006/relationships/hyperlink" Target="../../../Users/NEVERVA/AppData/Local/Microsoft/Windows/Downloads/NE%20template%20U%20Draft%20v2.0_120509%20for%20Translation.xls#JUMP_A_IV#JUMP_A_IV" TargetMode="External" /><Relationship Id="rId36" Type="http://schemas.openxmlformats.org/officeDocument/2006/relationships/hyperlink" Target="../../../Users/NEVERVA/AppData/Local/Microsoft/Windows/Downloads/NE%20template%20U%20Draft%20v2.0_120509%20for%20Translation.xls#JUMP_A_V#JUMP_A_V" TargetMode="External" /><Relationship Id="rId37" Type="http://schemas.openxmlformats.org/officeDocument/2006/relationships/hyperlink" Target="../../../Users/NEVERVA/AppData/Local/Microsoft/Windows/Downloads/NE%20template%20U%20Draft%20v2.0_120509%20for%20Translation.xls#JUMP_K_II#JUMP_K_II" TargetMode="External" /><Relationship Id="rId38" Type="http://schemas.openxmlformats.org/officeDocument/2006/relationships/hyperlink" Target="../../../Users/NEVERVA/AppData/Local/Microsoft/Windows/Downloads/NE%20template%20U%20Draft%20v2.0_120509%20for%20Translation.xls#JUMP_K_V#JUMP_K_V" TargetMode="External" /><Relationship Id="rId39" Type="http://schemas.openxmlformats.org/officeDocument/2006/relationships/hyperlink" Target="mailto:ets@minambiente.it" TargetMode="External" /><Relationship Id="rId40" Type="http://schemas.openxmlformats.org/officeDocument/2006/relationships/hyperlink" Target="http://www.minambiente.it/pagina/emission-trading" TargetMode="External" /><Relationship Id="rId41" Type="http://schemas.openxmlformats.org/officeDocument/2006/relationships/hyperlink" Target="mailto:ets@mianmbiente.it" TargetMode="External" /><Relationship Id="rId4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c.europa.eu/clima/documentation/ets/docs/decision_benchmarking_15_dec_en.pdf." TargetMode="External" /><Relationship Id="rId5" Type="http://schemas.openxmlformats.org/officeDocument/2006/relationships/hyperlink" Target="http://eur-lex.europa.eu/LexUriServ/LexUriServ.do?uri=CONSLEG:2003L0087:20090625:EN:PDF" TargetMode="External" /><Relationship Id="rId6" Type="http://schemas.openxmlformats.org/officeDocument/2006/relationships/hyperlink" Target="http://eur-lex.europa.eu/LexUriServ/LexUriServ.do?uri=CONSLEG:2011D0278:20111117:EN:PDF" TargetMode="External" /><Relationship Id="rId7" Type="http://schemas.openxmlformats.org/officeDocument/2006/relationships/hyperlink" Target="http://ec.europa.eu/clima/policies/ets/benchmarking/documentation_en.htm" TargetMode="External" /><Relationship Id="rId8" Type="http://schemas.openxmlformats.org/officeDocument/2006/relationships/hyperlink" Target="http://ec.europa.eu/clima/policies/ets/benchmarking/documentation_en.htm" TargetMode="External" /><Relationship Id="rId9" Type="http://schemas.openxmlformats.org/officeDocument/2006/relationships/hyperlink" Target="http://www.minambiente.it/pagina/cessazione-di-attivita-cessazione-parziale-di-attivita-interruzione-di-attivita-e-riavvio"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ramon/nomenclatures/index.cfm?TargetUrl=LST_CLS_DLD&amp;StrNom=NACE_REV2&amp;StrLanguageCode=EN&amp;StrLayoutCode=HIERARCHIC" TargetMode="External" /><Relationship Id="rId2" Type="http://schemas.openxmlformats.org/officeDocument/2006/relationships/hyperlink" Target="http://ec.europa.eu/eurostat/ramon/nomenclatures/index.cfm?TargetUrl=LST_CLS_DLD&amp;StrNom=NACE_1_1&amp;StrLanguageCode=EN&amp;StrLayoutCode=HIERARCHIC"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47"/>
  <sheetViews>
    <sheetView tabSelected="1" zoomScalePageLayoutView="0" workbookViewId="0" topLeftCell="A1">
      <pane ySplit="4" topLeftCell="A5" activePane="bottomLeft" state="frozen"/>
      <selection pane="topLeft" activeCell="F43" sqref="F43"/>
      <selection pane="bottomLeft" activeCell="D13" sqref="D13:K13"/>
    </sheetView>
  </sheetViews>
  <sheetFormatPr defaultColWidth="9.140625" defaultRowHeight="12.75"/>
  <cols>
    <col min="1" max="1" width="3.00390625" style="86" hidden="1" customWidth="1"/>
    <col min="2" max="4" width="4.7109375" style="86" customWidth="1"/>
    <col min="5" max="13" width="12.7109375" style="86" customWidth="1"/>
    <col min="14" max="15" width="9.140625" style="86" customWidth="1"/>
    <col min="16" max="25" width="9.140625" style="502" hidden="1" customWidth="1"/>
    <col min="26" max="16384" width="9.140625" style="86" customWidth="1"/>
  </cols>
  <sheetData>
    <row r="1" spans="1:25" s="4" customFormat="1" ht="13.5" hidden="1" thickBot="1">
      <c r="A1" s="318" t="s">
        <v>484</v>
      </c>
      <c r="P1" s="318" t="s">
        <v>484</v>
      </c>
      <c r="Q1" s="333" t="s">
        <v>484</v>
      </c>
      <c r="R1" s="333" t="s">
        <v>484</v>
      </c>
      <c r="S1" s="333" t="s">
        <v>484</v>
      </c>
      <c r="T1" s="333" t="s">
        <v>484</v>
      </c>
      <c r="U1" s="333" t="s">
        <v>484</v>
      </c>
      <c r="V1" s="333" t="s">
        <v>484</v>
      </c>
      <c r="W1" s="333" t="s">
        <v>484</v>
      </c>
      <c r="X1" s="333" t="s">
        <v>484</v>
      </c>
      <c r="Y1" s="333" t="s">
        <v>484</v>
      </c>
    </row>
    <row r="2" spans="2:25" ht="13.5" customHeight="1" thickBot="1">
      <c r="B2" s="691" t="s">
        <v>90</v>
      </c>
      <c r="C2" s="199" t="str">
        <f>Translations!$B$276</f>
        <v>Area di navigazione:</v>
      </c>
      <c r="D2" s="200"/>
      <c r="E2" s="200"/>
      <c r="F2" s="683"/>
      <c r="G2" s="683"/>
      <c r="H2" s="683"/>
      <c r="I2" s="683"/>
      <c r="J2" s="683" t="str">
        <f>HYPERLINK(V2,Translations!$B$277)</f>
        <v>Foglio successivo</v>
      </c>
      <c r="K2" s="683"/>
      <c r="L2" s="683" t="str">
        <f>HYPERLINK(X2,Translations!$B$278)</f>
        <v>Sintesi </v>
      </c>
      <c r="M2" s="684"/>
      <c r="N2" s="9"/>
      <c r="O2" s="9"/>
      <c r="P2" s="440" t="s">
        <v>552</v>
      </c>
      <c r="Q2" s="440"/>
      <c r="R2" s="677"/>
      <c r="S2" s="678"/>
      <c r="T2" s="679"/>
      <c r="U2" s="678"/>
      <c r="V2" s="679" t="str">
        <f>"#"&amp;ADDRESS(ROW(D6),COLUMN(D6),,,'b_Guidelines &amp; conditions'!O3)</f>
        <v>#'b_Guidelines &amp; conditions'!$D$6</v>
      </c>
      <c r="W2" s="678"/>
      <c r="X2" s="679" t="str">
        <f>"#"&amp;ADDRESS(ROW(D6),COLUMN(D6),,,D_Summary!Q3)</f>
        <v>#D_Summary!$D$6</v>
      </c>
      <c r="Y2" s="680"/>
    </row>
    <row r="3" spans="2:13" ht="12.75">
      <c r="B3" s="692"/>
      <c r="C3" s="695"/>
      <c r="D3" s="696"/>
      <c r="E3" s="697"/>
      <c r="F3" s="685"/>
      <c r="G3" s="686"/>
      <c r="H3" s="686"/>
      <c r="I3" s="686"/>
      <c r="J3" s="686"/>
      <c r="K3" s="686"/>
      <c r="L3" s="686"/>
      <c r="M3" s="686"/>
    </row>
    <row r="4" spans="2:13" ht="13.5" thickBot="1">
      <c r="B4" s="693"/>
      <c r="C4" s="698"/>
      <c r="D4" s="699"/>
      <c r="E4" s="700"/>
      <c r="F4" s="694"/>
      <c r="G4" s="689"/>
      <c r="H4" s="689"/>
      <c r="I4" s="689"/>
      <c r="J4" s="689"/>
      <c r="K4" s="689"/>
      <c r="L4" s="689"/>
      <c r="M4" s="689"/>
    </row>
    <row r="5" spans="3:6" ht="12.75">
      <c r="C5" s="195"/>
      <c r="F5" s="195"/>
    </row>
    <row r="6" spans="3:13" ht="51" customHeight="1">
      <c r="C6" s="687" t="str">
        <f>Translations!$B$1505</f>
        <v>Modello di domanda di fusione, scissione e trasferimento di parti di impianti</v>
      </c>
      <c r="D6" s="688"/>
      <c r="E6" s="688"/>
      <c r="F6" s="688"/>
      <c r="G6" s="688"/>
      <c r="H6" s="688"/>
      <c r="I6" s="688"/>
      <c r="J6" s="688"/>
      <c r="K6" s="688"/>
      <c r="L6" s="688"/>
      <c r="M6" s="688"/>
    </row>
    <row r="7" spans="3:6" ht="12.75">
      <c r="C7" s="195"/>
      <c r="F7" s="195"/>
    </row>
    <row r="8" spans="2:13" ht="29.25" customHeight="1">
      <c r="B8" s="95"/>
      <c r="C8" s="196" t="str">
        <f>Translations!$B$281</f>
        <v>INDICE</v>
      </c>
      <c r="D8" s="95"/>
      <c r="E8" s="95"/>
      <c r="F8" s="196"/>
      <c r="G8" s="196"/>
      <c r="H8" s="196"/>
      <c r="I8" s="196"/>
      <c r="J8" s="196"/>
      <c r="K8" s="196"/>
      <c r="L8" s="196"/>
      <c r="M8" s="196"/>
    </row>
    <row r="9" spans="2:20" ht="12.75">
      <c r="B9" s="222"/>
      <c r="C9" s="2"/>
      <c r="D9" s="681" t="str">
        <f>HYPERLINK(T9,'b_Guidelines &amp; conditions'!C6)</f>
        <v>LINEE GUIDA E CONDIZIONI</v>
      </c>
      <c r="E9" s="682"/>
      <c r="F9" s="682"/>
      <c r="G9" s="682"/>
      <c r="H9" s="682"/>
      <c r="I9" s="682"/>
      <c r="J9" s="682"/>
      <c r="K9" s="682"/>
      <c r="L9" s="682"/>
      <c r="M9" s="23"/>
      <c r="R9" s="503" t="s">
        <v>553</v>
      </c>
      <c r="S9" s="505"/>
      <c r="T9" s="504" t="str">
        <f>"#"&amp;ADDRESS(ROW(JUMP_TOC_Home),COLUMN(JUMP_TOC_Home),,,'b_Guidelines &amp; conditions'!O3)</f>
        <v>#'b_Guidelines &amp; conditions'!$B$6</v>
      </c>
    </row>
    <row r="10" spans="2:13" ht="12.75">
      <c r="B10" s="193" t="s">
        <v>347</v>
      </c>
      <c r="C10" s="193"/>
      <c r="D10" s="703" t="str">
        <f>A_InstallationData!D6</f>
        <v>Foglio "InstallationData" — INFORMAZIONI GENERALI SULLA PRESENTE RICHIESTA</v>
      </c>
      <c r="E10" s="703"/>
      <c r="F10" s="702"/>
      <c r="G10" s="702"/>
      <c r="H10" s="702"/>
      <c r="I10" s="702"/>
      <c r="J10" s="702"/>
      <c r="K10" s="702"/>
      <c r="L10" s="702"/>
      <c r="M10" s="23"/>
    </row>
    <row r="11" spans="2:20" ht="12.75">
      <c r="B11" s="223"/>
      <c r="C11" s="511" t="s">
        <v>41</v>
      </c>
      <c r="D11" s="681" t="str">
        <f>HYPERLINK(T11,Translations!$B$1503)</f>
        <v>Conferma dell’ammissibilità</v>
      </c>
      <c r="E11" s="690"/>
      <c r="F11" s="690"/>
      <c r="G11" s="690"/>
      <c r="H11" s="690"/>
      <c r="I11" s="690"/>
      <c r="J11" s="690"/>
      <c r="K11" s="690"/>
      <c r="L11" s="406"/>
      <c r="T11" s="504" t="str">
        <f>"#"&amp;ADDRESS(ROW(A_InstallationData!C8),COLUMN(A_InstallationData!C8),,,A_InstallationData!Q3)</f>
        <v>#A_InstallationData!$C$8</v>
      </c>
    </row>
    <row r="12" spans="2:20" ht="12.75">
      <c r="B12" s="223"/>
      <c r="C12" s="511" t="s">
        <v>75</v>
      </c>
      <c r="D12" s="681" t="str">
        <f>HYPERLINK(T12,Translations!$B$344)</f>
        <v>Identificazione dell'impianto</v>
      </c>
      <c r="E12" s="690"/>
      <c r="F12" s="690"/>
      <c r="G12" s="690"/>
      <c r="H12" s="690"/>
      <c r="I12" s="690"/>
      <c r="J12" s="690"/>
      <c r="K12" s="690"/>
      <c r="L12" s="406"/>
      <c r="T12" s="504" t="str">
        <f>"#"&amp;ADDRESS(ROW(A_InstallationData!C42),COLUMN(A_InstallationData!C42),,,A_InstallationData!Q3)</f>
        <v>#A_InstallationData!$C$42</v>
      </c>
    </row>
    <row r="13" spans="2:20" ht="12.75">
      <c r="B13" s="223"/>
      <c r="C13" s="511" t="s">
        <v>131</v>
      </c>
      <c r="D13" s="681" t="str">
        <f>HYPERLINK(T13,Translations!$B$442)</f>
        <v>Elenco dei collegamenti tecnici</v>
      </c>
      <c r="E13" s="690"/>
      <c r="F13" s="690"/>
      <c r="G13" s="690"/>
      <c r="H13" s="690"/>
      <c r="I13" s="690"/>
      <c r="J13" s="690"/>
      <c r="K13" s="690"/>
      <c r="L13" s="406"/>
      <c r="T13" s="504" t="str">
        <f>"#"&amp;ADDRESS(ROW(A_InstallationData!C147),COLUMN(A_InstallationData!C147),,,A_InstallationData!Q3)</f>
        <v>#A_InstallationData!$C$147</v>
      </c>
    </row>
    <row r="14" spans="2:20" ht="12.75">
      <c r="B14" s="223"/>
      <c r="C14" s="506" t="s">
        <v>217</v>
      </c>
      <c r="D14" s="681" t="str">
        <f>HYPERLINK(T14,Translations!$B$1504)</f>
        <v>Identificazione di tutti gli impianti interessati</v>
      </c>
      <c r="E14" s="690"/>
      <c r="F14" s="690"/>
      <c r="G14" s="690"/>
      <c r="H14" s="690"/>
      <c r="I14" s="690"/>
      <c r="J14" s="690"/>
      <c r="K14" s="690"/>
      <c r="L14" s="406"/>
      <c r="T14" s="504" t="str">
        <f>"#"&amp;ADDRESS(ROW(A_InstallationData!C199),COLUMN(A_InstallationData!C199),,,A_InstallationData!Q3)</f>
        <v>#A_InstallationData!$C$199</v>
      </c>
    </row>
    <row r="15" spans="2:13" ht="12.75" customHeight="1">
      <c r="B15" s="193" t="s">
        <v>348</v>
      </c>
      <c r="C15" s="507"/>
      <c r="D15" s="701" t="str">
        <f>B_InitialSituation!D6</f>
        <v>Scheda "Situazione di partenza"</v>
      </c>
      <c r="E15" s="701"/>
      <c r="F15" s="702"/>
      <c r="G15" s="702"/>
      <c r="H15" s="702"/>
      <c r="I15" s="702"/>
      <c r="J15" s="702"/>
      <c r="K15" s="702"/>
      <c r="L15" s="702"/>
      <c r="M15" s="23"/>
    </row>
    <row r="16" spans="2:20" ht="12.75">
      <c r="B16" s="223"/>
      <c r="C16" s="511" t="s">
        <v>41</v>
      </c>
      <c r="D16" s="681" t="str">
        <f>HYPERLINK(T16,B_InitialSituation!$D$8)</f>
        <v>Situazione PRIMA della fusione di impianti</v>
      </c>
      <c r="E16" s="690"/>
      <c r="F16" s="690"/>
      <c r="G16" s="690"/>
      <c r="H16" s="690"/>
      <c r="I16" s="690"/>
      <c r="J16" s="690"/>
      <c r="K16" s="690"/>
      <c r="L16" s="406"/>
      <c r="T16" s="504" t="str">
        <f>"#"&amp;ADDRESS(ROW(B_InitialSituation!C8),COLUMN(B_InitialSituation!C8),,,B_InitialSituation!Q3)</f>
        <v>#B_InitialSituation!$C$8</v>
      </c>
    </row>
    <row r="17" spans="2:13" ht="12.75" customHeight="1">
      <c r="B17" s="193" t="s">
        <v>349</v>
      </c>
      <c r="C17" s="507"/>
      <c r="D17" s="701" t="str">
        <f>C_MergerSplitTransfer!D6</f>
        <v>Scheda "Fusione, scissione e cessione"</v>
      </c>
      <c r="E17" s="701"/>
      <c r="F17" s="702"/>
      <c r="G17" s="702"/>
      <c r="H17" s="702"/>
      <c r="I17" s="702"/>
      <c r="J17" s="702"/>
      <c r="K17" s="702"/>
      <c r="L17" s="702"/>
      <c r="M17" s="23"/>
    </row>
    <row r="18" spans="2:20" ht="12.75">
      <c r="B18" s="223"/>
      <c r="C18" s="511" t="s">
        <v>41</v>
      </c>
      <c r="D18" s="681" t="str">
        <f>HYPERLINK(T18,C_MergerSplitTransfer!D8)</f>
        <v>Cessione di quote, di capacità e di livello di attività</v>
      </c>
      <c r="E18" s="690"/>
      <c r="F18" s="690"/>
      <c r="G18" s="690"/>
      <c r="H18" s="690"/>
      <c r="I18" s="690"/>
      <c r="J18" s="690"/>
      <c r="K18" s="690"/>
      <c r="L18" s="406"/>
      <c r="T18" s="504" t="str">
        <f>"#"&amp;ADDRESS(ROW(C_MergerSplitTransfer!C8),COLUMN(C_MergerSplitTransfer!C8),,,C_MergerSplitTransfer!Q3)</f>
        <v>#C_MergerSplitTransfer!$C$8</v>
      </c>
    </row>
    <row r="19" spans="2:13" ht="12.75">
      <c r="B19" s="193" t="s">
        <v>350</v>
      </c>
      <c r="C19" s="507"/>
      <c r="D19" s="703" t="str">
        <f>D_Summary!D6</f>
        <v>Scheda "Sintesi"</v>
      </c>
      <c r="E19" s="703"/>
      <c r="F19" s="702"/>
      <c r="G19" s="702"/>
      <c r="H19" s="702"/>
      <c r="I19" s="702"/>
      <c r="J19" s="702"/>
      <c r="K19" s="702"/>
      <c r="L19" s="702"/>
      <c r="M19" s="23"/>
    </row>
    <row r="20" spans="2:20" ht="12.75">
      <c r="B20" s="223"/>
      <c r="C20" s="511" t="s">
        <v>41</v>
      </c>
      <c r="D20" s="681" t="str">
        <f>HYPERLINK(T20,D_Summary!$D$8)</f>
        <v>Impianti interessati dalla fusione, dalla scissione o dal trasferimento</v>
      </c>
      <c r="E20" s="690"/>
      <c r="F20" s="690"/>
      <c r="G20" s="690"/>
      <c r="H20" s="690"/>
      <c r="I20" s="690"/>
      <c r="J20" s="690"/>
      <c r="K20" s="690"/>
      <c r="L20" s="406"/>
      <c r="T20" s="504" t="str">
        <f>"#"&amp;ADDRESS(ROW(D_Summary!C7),COLUMN(D_Summary!C7),,,D_Summary!$Q$3)</f>
        <v>#D_Summary!$C$7</v>
      </c>
    </row>
    <row r="21" spans="2:20" ht="12.75">
      <c r="B21" s="223"/>
      <c r="C21" s="511" t="s">
        <v>75</v>
      </c>
      <c r="D21" s="681" t="str">
        <f>HYPERLINK(T21,D_Summary!$D$26)</f>
        <v>Dati dell'impianto</v>
      </c>
      <c r="E21" s="690"/>
      <c r="F21" s="690"/>
      <c r="G21" s="690"/>
      <c r="H21" s="690"/>
      <c r="I21" s="690"/>
      <c r="J21" s="690"/>
      <c r="K21" s="690"/>
      <c r="L21" s="406"/>
      <c r="T21" s="504" t="str">
        <f>"#"&amp;ADDRESS(ROW(D_Summary!C26),COLUMN(D_Summary!C26),,,D_Summary!$Q$3)</f>
        <v>#D_Summary!$C$26</v>
      </c>
    </row>
    <row r="22" spans="2:20" ht="12.75">
      <c r="B22" s="223"/>
      <c r="C22" s="511" t="s">
        <v>131</v>
      </c>
      <c r="D22" s="681" t="str">
        <f>HYPERLINK(T22,D_Summary!$D$65)</f>
        <v>Nuova assegnazione</v>
      </c>
      <c r="E22" s="690"/>
      <c r="F22" s="690"/>
      <c r="G22" s="690"/>
      <c r="H22" s="690"/>
      <c r="I22" s="690"/>
      <c r="J22" s="690"/>
      <c r="K22" s="690"/>
      <c r="L22" s="406"/>
      <c r="T22" s="504" t="str">
        <f>"#"&amp;ADDRESS(ROW(D_Summary!C65),COLUMN(D_Summary!C65),,,D_Summary!$Q$3)</f>
        <v>#D_Summary!$C$65</v>
      </c>
    </row>
    <row r="23" spans="2:13" ht="12.75">
      <c r="B23" s="193" t="s">
        <v>351</v>
      </c>
      <c r="C23" s="507"/>
      <c r="D23" s="703" t="str">
        <f>I_MSspecific!C5</f>
        <v>Foglio "MSspecific" - REQUISITI AGGIUNTIVI SUI DATI DEGLI STATI MEMBRI</v>
      </c>
      <c r="E23" s="703"/>
      <c r="F23" s="702"/>
      <c r="G23" s="702"/>
      <c r="H23" s="702"/>
      <c r="I23" s="702"/>
      <c r="J23" s="702"/>
      <c r="K23" s="702"/>
      <c r="L23" s="702"/>
      <c r="M23" s="23"/>
    </row>
    <row r="24" spans="2:12" ht="12.75">
      <c r="B24" s="223"/>
      <c r="C24" s="511" t="s">
        <v>41</v>
      </c>
      <c r="D24" s="681" t="str">
        <f>I_MSspecific!C7</f>
        <v>Devono essere definiti dagli Stati membri</v>
      </c>
      <c r="E24" s="681"/>
      <c r="F24" s="681"/>
      <c r="G24" s="681"/>
      <c r="H24" s="681"/>
      <c r="I24" s="681"/>
      <c r="J24" s="681"/>
      <c r="K24" s="681"/>
      <c r="L24" s="406"/>
    </row>
    <row r="25" spans="2:13" ht="12.75">
      <c r="B25" s="193" t="s">
        <v>352</v>
      </c>
      <c r="C25" s="507"/>
      <c r="D25" s="703" t="str">
        <f>J_Comments!C5</f>
        <v>Sheet "Comments" - COMMENTI E ULTERIORI INFORMAZIONI</v>
      </c>
      <c r="E25" s="703"/>
      <c r="F25" s="702"/>
      <c r="G25" s="702"/>
      <c r="H25" s="702"/>
      <c r="I25" s="702"/>
      <c r="J25" s="702"/>
      <c r="K25" s="702"/>
      <c r="L25" s="702"/>
      <c r="M25" s="23"/>
    </row>
    <row r="26" spans="2:12" ht="12.75">
      <c r="B26" s="223"/>
      <c r="C26" s="511" t="s">
        <v>41</v>
      </c>
      <c r="D26" s="681" t="str">
        <f>J_Comments!C7</f>
        <v>Documenti a supporto di questa comunicazione</v>
      </c>
      <c r="E26" s="681"/>
      <c r="F26" s="681"/>
      <c r="G26" s="681"/>
      <c r="H26" s="681"/>
      <c r="I26" s="681"/>
      <c r="J26" s="681"/>
      <c r="K26" s="681"/>
      <c r="L26" s="406"/>
    </row>
    <row r="27" spans="2:12" ht="12.75">
      <c r="B27" s="223"/>
      <c r="C27" s="511" t="s">
        <v>75</v>
      </c>
      <c r="D27" s="681" t="str">
        <f>J_Comments!C28</f>
        <v>Spazio libero per tutti i tipi di informazioni aggiuntive</v>
      </c>
      <c r="E27" s="681"/>
      <c r="F27" s="681"/>
      <c r="G27" s="681"/>
      <c r="H27" s="681"/>
      <c r="I27" s="681"/>
      <c r="J27" s="681"/>
      <c r="K27" s="681"/>
      <c r="L27" s="406"/>
    </row>
    <row r="28" spans="2:12" ht="12.75">
      <c r="B28" s="223"/>
      <c r="C28" s="508"/>
      <c r="D28" s="1"/>
      <c r="E28" s="1"/>
      <c r="F28" s="1"/>
      <c r="G28" s="1"/>
      <c r="H28" s="1"/>
      <c r="I28" s="1"/>
      <c r="J28" s="1"/>
      <c r="K28" s="1"/>
      <c r="L28" s="202"/>
    </row>
    <row r="29" spans="2:12" ht="12.75">
      <c r="B29" s="223"/>
      <c r="C29" s="224"/>
      <c r="D29" s="1"/>
      <c r="E29" s="1"/>
      <c r="F29" s="1"/>
      <c r="G29" s="1"/>
      <c r="H29" s="1"/>
      <c r="I29" s="1"/>
      <c r="J29" s="1"/>
      <c r="K29" s="1"/>
      <c r="L29" s="202"/>
    </row>
    <row r="30" spans="2:13" ht="12.75">
      <c r="B30" s="223"/>
      <c r="C30" s="223"/>
      <c r="D30" s="223"/>
      <c r="E30" s="223"/>
      <c r="F30" s="202"/>
      <c r="G30" s="202"/>
      <c r="H30" s="202"/>
      <c r="I30" s="202"/>
      <c r="J30" s="202"/>
      <c r="K30" s="202"/>
      <c r="L30" s="202"/>
      <c r="M30" s="23"/>
    </row>
    <row r="31" spans="2:13" ht="13.5" thickBot="1">
      <c r="B31" s="223"/>
      <c r="C31" s="223"/>
      <c r="D31" s="223"/>
      <c r="E31" s="223"/>
      <c r="F31" s="202"/>
      <c r="G31" s="202"/>
      <c r="H31" s="202"/>
      <c r="I31" s="202"/>
      <c r="J31" s="202"/>
      <c r="K31" s="202"/>
      <c r="L31" s="202"/>
      <c r="M31" s="23"/>
    </row>
    <row r="32" spans="2:12" ht="12.75">
      <c r="B32" s="95"/>
      <c r="C32" s="95"/>
      <c r="D32" s="225" t="str">
        <f>Translations!$B$282</f>
        <v>Versione linguistica:</v>
      </c>
      <c r="E32" s="226"/>
      <c r="F32" s="226"/>
      <c r="G32" s="227"/>
      <c r="H32" s="228" t="str">
        <f>VersionDocumentation!B5</f>
        <v>Italian</v>
      </c>
      <c r="I32" s="228"/>
      <c r="J32" s="228"/>
      <c r="K32" s="229"/>
      <c r="L32" s="95"/>
    </row>
    <row r="33" spans="2:12" ht="13.5" thickBot="1">
      <c r="B33" s="95"/>
      <c r="C33" s="95"/>
      <c r="D33" s="230" t="str">
        <f>Translations!$B$283</f>
        <v>Nome file di riferimento:</v>
      </c>
      <c r="E33" s="231"/>
      <c r="F33" s="231"/>
      <c r="G33" s="232"/>
      <c r="H33" s="233" t="str">
        <f>VersionDocumentation!C3</f>
        <v>NE&amp;C MergerSplit_2015-11-22_COM_it.XLS</v>
      </c>
      <c r="I33" s="233"/>
      <c r="J33" s="233"/>
      <c r="K33" s="234"/>
      <c r="L33" s="95"/>
    </row>
    <row r="34" spans="2:12" ht="12.75">
      <c r="B34" s="95"/>
      <c r="C34" s="95"/>
      <c r="D34" s="95"/>
      <c r="E34" s="95"/>
      <c r="F34" s="95"/>
      <c r="G34" s="95"/>
      <c r="H34" s="95"/>
      <c r="I34" s="95"/>
      <c r="J34" s="95"/>
      <c r="K34" s="95"/>
      <c r="L34" s="95"/>
    </row>
    <row r="35" spans="2:12" ht="12.75">
      <c r="B35" s="95"/>
      <c r="C35" s="95"/>
      <c r="D35" s="95"/>
      <c r="E35" s="95"/>
      <c r="F35" s="95"/>
      <c r="G35" s="95"/>
      <c r="H35" s="95"/>
      <c r="I35" s="95"/>
      <c r="J35" s="95"/>
      <c r="K35" s="95"/>
      <c r="L35" s="95"/>
    </row>
    <row r="36" spans="2:12" ht="13.5" thickBot="1">
      <c r="B36" s="95"/>
      <c r="C36" s="95"/>
      <c r="D36" s="213" t="str">
        <f>Translations!$B$284</f>
        <v>Informazioni su questo file:</v>
      </c>
      <c r="E36" s="213"/>
      <c r="F36" s="213"/>
      <c r="G36" s="95"/>
      <c r="H36" s="95"/>
      <c r="I36" s="95"/>
      <c r="J36" s="95"/>
      <c r="K36" s="95"/>
      <c r="L36" s="95"/>
    </row>
    <row r="37" spans="2:12" ht="12.75">
      <c r="B37" s="95"/>
      <c r="C37" s="95"/>
      <c r="D37" s="225" t="str">
        <f>Translations!$B$285</f>
        <v>Denominazione impianto:</v>
      </c>
      <c r="E37" s="226"/>
      <c r="F37" s="226"/>
      <c r="G37" s="227"/>
      <c r="H37" s="228">
        <f>IF(ISBLANK(A_InstallationData!J48),"",A_InstallationData!J48)</f>
      </c>
      <c r="I37" s="228"/>
      <c r="J37" s="228"/>
      <c r="K37" s="229"/>
      <c r="L37" s="95"/>
    </row>
    <row r="38" spans="2:12" ht="13.5" thickBot="1">
      <c r="B38" s="95"/>
      <c r="C38" s="95"/>
      <c r="D38" s="230" t="str">
        <f>Translations!$B$286</f>
        <v>Identificativo univoco dell'impianto:</v>
      </c>
      <c r="E38" s="231"/>
      <c r="F38" s="231"/>
      <c r="G38" s="232"/>
      <c r="H38" s="233">
        <f>IF(CNTR_UniqueID="","",CNTR_UniqueID)</f>
      </c>
      <c r="I38" s="233"/>
      <c r="J38" s="233"/>
      <c r="K38" s="234"/>
      <c r="L38" s="95"/>
    </row>
    <row r="39" spans="2:12" ht="12.75">
      <c r="B39" s="95"/>
      <c r="C39" s="95"/>
      <c r="D39" s="95"/>
      <c r="E39" s="95"/>
      <c r="F39" s="95"/>
      <c r="G39" s="95"/>
      <c r="H39" s="95"/>
      <c r="I39" s="95"/>
      <c r="J39" s="95"/>
      <c r="K39" s="95"/>
      <c r="L39" s="95"/>
    </row>
    <row r="40" spans="2:12" ht="32.25" customHeight="1">
      <c r="B40" s="95"/>
      <c r="C40" s="95"/>
      <c r="D40" s="706" t="str">
        <f>Translations!$B$287</f>
        <v>Se l'autorità competente richiede la presentazione di una copia cartacea firmata della comunicazione, usare lo spazio sottostante per la firma:</v>
      </c>
      <c r="E40" s="706"/>
      <c r="F40" s="706"/>
      <c r="G40" s="707"/>
      <c r="H40" s="707"/>
      <c r="I40" s="707"/>
      <c r="J40" s="707"/>
      <c r="K40" s="707"/>
      <c r="L40" s="95"/>
    </row>
    <row r="41" spans="2:12" ht="12.75">
      <c r="B41" s="95"/>
      <c r="C41" s="95"/>
      <c r="D41" s="95"/>
      <c r="E41" s="95"/>
      <c r="F41" s="95"/>
      <c r="G41" s="198"/>
      <c r="H41" s="95"/>
      <c r="I41" s="95"/>
      <c r="J41" s="95"/>
      <c r="K41" s="95"/>
      <c r="L41" s="95"/>
    </row>
    <row r="42" spans="2:12" ht="12.75">
      <c r="B42" s="95"/>
      <c r="C42" s="95"/>
      <c r="D42" s="95"/>
      <c r="E42" s="95"/>
      <c r="F42" s="95"/>
      <c r="G42" s="95"/>
      <c r="H42" s="95"/>
      <c r="I42" s="95"/>
      <c r="J42" s="95"/>
      <c r="K42" s="95"/>
      <c r="L42" s="95"/>
    </row>
    <row r="43" spans="2:12" ht="12.75">
      <c r="B43" s="95"/>
      <c r="C43" s="95"/>
      <c r="D43" s="95"/>
      <c r="E43" s="95"/>
      <c r="F43" s="95"/>
      <c r="G43" s="95"/>
      <c r="H43" s="95"/>
      <c r="I43" s="95"/>
      <c r="J43" s="95"/>
      <c r="K43" s="95"/>
      <c r="L43" s="95"/>
    </row>
    <row r="44" spans="2:12" ht="12.75">
      <c r="B44" s="95"/>
      <c r="C44" s="95"/>
      <c r="D44" s="95"/>
      <c r="E44" s="95"/>
      <c r="F44" s="95"/>
      <c r="G44" s="95"/>
      <c r="H44" s="95"/>
      <c r="I44" s="95"/>
      <c r="J44" s="95"/>
      <c r="K44" s="95"/>
      <c r="L44" s="95"/>
    </row>
    <row r="45" spans="2:12" ht="12.75">
      <c r="B45" s="95"/>
      <c r="C45" s="95"/>
      <c r="D45" s="235"/>
      <c r="E45" s="235"/>
      <c r="F45" s="235"/>
      <c r="G45" s="95"/>
      <c r="H45" s="235"/>
      <c r="I45" s="95"/>
      <c r="J45" s="95"/>
      <c r="K45" s="95"/>
      <c r="L45" s="95"/>
    </row>
    <row r="46" spans="2:12" ht="25.5" customHeight="1">
      <c r="B46" s="95"/>
      <c r="C46" s="95"/>
      <c r="D46" s="704" t="str">
        <f>Translations!$B$288</f>
        <v>Data</v>
      </c>
      <c r="E46" s="704"/>
      <c r="F46" s="704"/>
      <c r="G46" s="198"/>
      <c r="H46" s="704" t="str">
        <f>Translations!$B$289</f>
        <v>Nome e firma della
persona legalmente responsabile</v>
      </c>
      <c r="I46" s="705"/>
      <c r="J46" s="705"/>
      <c r="K46" s="705"/>
      <c r="L46" s="95"/>
    </row>
    <row r="47" spans="9:12" ht="12.75">
      <c r="I47" s="194"/>
      <c r="J47" s="194"/>
      <c r="K47" s="194"/>
      <c r="L47" s="194"/>
    </row>
  </sheetData>
  <sheetProtection sheet="1" objects="1" scenarios="1" formatCells="0" formatColumns="0" formatRows="0"/>
  <mergeCells count="42">
    <mergeCell ref="D19:L19"/>
    <mergeCell ref="D22:K22"/>
    <mergeCell ref="D20:K20"/>
    <mergeCell ref="D24:K24"/>
    <mergeCell ref="D25:L25"/>
    <mergeCell ref="D21:K21"/>
    <mergeCell ref="H46:K46"/>
    <mergeCell ref="D46:F46"/>
    <mergeCell ref="D23:L23"/>
    <mergeCell ref="D27:K27"/>
    <mergeCell ref="D26:K26"/>
    <mergeCell ref="D40:K40"/>
    <mergeCell ref="C3:E3"/>
    <mergeCell ref="C4:E4"/>
    <mergeCell ref="D16:K16"/>
    <mergeCell ref="D17:L17"/>
    <mergeCell ref="D15:L15"/>
    <mergeCell ref="D10:L10"/>
    <mergeCell ref="D11:K11"/>
    <mergeCell ref="D12:K12"/>
    <mergeCell ref="D13:K13"/>
    <mergeCell ref="D14:K14"/>
    <mergeCell ref="C6:M6"/>
    <mergeCell ref="L4:M4"/>
    <mergeCell ref="D18:K18"/>
    <mergeCell ref="B2:B4"/>
    <mergeCell ref="F2:G2"/>
    <mergeCell ref="H2:I2"/>
    <mergeCell ref="J2:K2"/>
    <mergeCell ref="F4:G4"/>
    <mergeCell ref="H4:I4"/>
    <mergeCell ref="J4:K4"/>
    <mergeCell ref="R2:S2"/>
    <mergeCell ref="T2:U2"/>
    <mergeCell ref="V2:W2"/>
    <mergeCell ref="X2:Y2"/>
    <mergeCell ref="D9:L9"/>
    <mergeCell ref="L2:M2"/>
    <mergeCell ref="F3:G3"/>
    <mergeCell ref="H3:I3"/>
    <mergeCell ref="J3:K3"/>
    <mergeCell ref="L3:M3"/>
  </mergeCells>
  <hyperlinks>
    <hyperlink ref="D24:K24" location="JUMP_I_Top" display="JUMP_I_Top"/>
    <hyperlink ref="D26:K26" location="JUMP_J_Top" display="JUMP_J_Top"/>
    <hyperlink ref="D27:K27" location="JUMP_J_II" display="JUMP_J_II"/>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pageSetUpPr fitToPage="1"/>
  </sheetPr>
  <dimension ref="A1:G73"/>
  <sheetViews>
    <sheetView zoomScalePageLayoutView="0" workbookViewId="0" topLeftCell="A1">
      <selection activeCell="A1" sqref="A1:IV16384"/>
    </sheetView>
  </sheetViews>
  <sheetFormatPr defaultColWidth="9.140625" defaultRowHeight="12.75"/>
  <cols>
    <col min="1" max="1" width="50.8515625" style="82" customWidth="1"/>
    <col min="2" max="16384" width="9.140625" style="82" customWidth="1"/>
  </cols>
  <sheetData>
    <row r="1" spans="1:7" ht="12.75">
      <c r="A1" s="114" t="s">
        <v>68</v>
      </c>
      <c r="B1" s="114" t="s">
        <v>71</v>
      </c>
      <c r="C1" s="114" t="s">
        <v>72</v>
      </c>
      <c r="D1" s="115"/>
      <c r="E1" s="115" t="s">
        <v>100</v>
      </c>
      <c r="F1" s="115"/>
      <c r="G1" s="115"/>
    </row>
    <row r="2" spans="1:5" ht="12.75">
      <c r="A2" s="82" t="s">
        <v>143</v>
      </c>
      <c r="B2" s="93" t="b">
        <v>1</v>
      </c>
      <c r="E2" s="206" t="b">
        <v>1</v>
      </c>
    </row>
    <row r="3" spans="1:5" ht="12.75">
      <c r="A3" s="82" t="s">
        <v>153</v>
      </c>
      <c r="B3" s="93" t="b">
        <v>1</v>
      </c>
      <c r="E3" s="206" t="b">
        <v>1</v>
      </c>
    </row>
    <row r="4" spans="1:5" ht="12.75">
      <c r="A4" s="82" t="s">
        <v>472</v>
      </c>
      <c r="B4" s="93" t="b">
        <v>1</v>
      </c>
      <c r="E4" s="206" t="b">
        <v>1</v>
      </c>
    </row>
    <row r="5" spans="1:5" ht="12.75">
      <c r="A5" s="82" t="s">
        <v>474</v>
      </c>
      <c r="B5" s="93" t="b">
        <v>1</v>
      </c>
      <c r="E5" s="206" t="b">
        <v>1</v>
      </c>
    </row>
    <row r="10" s="118" customFormat="1" ht="12.75">
      <c r="A10" s="118" t="s">
        <v>525</v>
      </c>
    </row>
    <row r="11" ht="12.75">
      <c r="A11" s="110" t="s">
        <v>527</v>
      </c>
    </row>
    <row r="12" ht="12.75">
      <c r="A12" s="133" t="s">
        <v>528</v>
      </c>
    </row>
    <row r="13" ht="12.75">
      <c r="A13" s="133" t="s">
        <v>529</v>
      </c>
    </row>
    <row r="14" ht="12.75">
      <c r="A14" s="133" t="s">
        <v>251</v>
      </c>
    </row>
    <row r="15" ht="13.5" thickBot="1">
      <c r="A15" s="133" t="s">
        <v>252</v>
      </c>
    </row>
    <row r="16" spans="1:3" ht="36.75" thickTop="1">
      <c r="A16" s="134" t="s">
        <v>218</v>
      </c>
      <c r="B16" s="135" t="s">
        <v>219</v>
      </c>
      <c r="C16" s="135" t="s">
        <v>221</v>
      </c>
    </row>
    <row r="17" spans="1:3" ht="14.25" thickBot="1">
      <c r="A17" s="136"/>
      <c r="B17" s="137" t="s">
        <v>220</v>
      </c>
      <c r="C17" s="137" t="s">
        <v>222</v>
      </c>
    </row>
    <row r="18" spans="1:3" ht="36">
      <c r="A18" s="138"/>
      <c r="B18" s="139" t="s">
        <v>521</v>
      </c>
      <c r="C18" s="1074" t="s">
        <v>521</v>
      </c>
    </row>
    <row r="19" spans="1:3" ht="24.75" thickBot="1">
      <c r="A19" s="140"/>
      <c r="B19" s="141" t="s">
        <v>522</v>
      </c>
      <c r="C19" s="1075"/>
    </row>
    <row r="20" spans="1:3" ht="14.25" thickBot="1" thickTop="1">
      <c r="A20" s="142" t="str">
        <f>Translations!B224</f>
        <v>Petrolio greggio</v>
      </c>
      <c r="B20" s="143">
        <v>73.3</v>
      </c>
      <c r="C20" s="144">
        <v>42.3</v>
      </c>
    </row>
    <row r="21" spans="1:3" ht="13.5" thickBot="1">
      <c r="A21" s="145" t="str">
        <f>Translations!B225</f>
        <v>Orimulsione</v>
      </c>
      <c r="B21" s="146">
        <v>76.9</v>
      </c>
      <c r="C21" s="147">
        <v>27.5</v>
      </c>
    </row>
    <row r="22" spans="1:3" ht="13.5" thickBot="1">
      <c r="A22" s="145" t="str">
        <f>Translations!B226</f>
        <v>Liquidi da gas naturale</v>
      </c>
      <c r="B22" s="146">
        <v>64.1</v>
      </c>
      <c r="C22" s="147">
        <v>44.2</v>
      </c>
    </row>
    <row r="23" spans="1:3" ht="13.5" thickBot="1">
      <c r="A23" s="145" t="str">
        <f>Translations!B227</f>
        <v>Benzina</v>
      </c>
      <c r="B23" s="146">
        <v>69.2</v>
      </c>
      <c r="C23" s="147">
        <v>44.3</v>
      </c>
    </row>
    <row r="24" spans="1:3" ht="13.5" thickBot="1">
      <c r="A24" s="145" t="str">
        <f>Translations!B228</f>
        <v>Kerosene</v>
      </c>
      <c r="B24" s="146">
        <v>71.8</v>
      </c>
      <c r="C24" s="147">
        <v>43.8</v>
      </c>
    </row>
    <row r="25" spans="1:3" ht="13.5" thickBot="1">
      <c r="A25" s="145" t="str">
        <f>Translations!B229</f>
        <v>Benzina avio (AvGas)</v>
      </c>
      <c r="B25" s="146">
        <v>70</v>
      </c>
      <c r="C25" s="147">
        <v>44.3</v>
      </c>
    </row>
    <row r="26" spans="1:3" ht="13.5" thickBot="1">
      <c r="A26" s="145" t="str">
        <f>Translations!B230</f>
        <v>Benzina per aeromobili (Jet B)</v>
      </c>
      <c r="B26" s="146">
        <v>70</v>
      </c>
      <c r="C26" s="147">
        <v>44.3</v>
      </c>
    </row>
    <row r="27" spans="1:3" ht="13.5" thickBot="1">
      <c r="A27" s="145" t="str">
        <f>Translations!B231</f>
        <v>Kerosene per aeromobili (jet A1 o jet A)</v>
      </c>
      <c r="B27" s="146">
        <v>71.5</v>
      </c>
      <c r="C27" s="147">
        <v>44.1</v>
      </c>
    </row>
    <row r="28" spans="1:3" ht="13.5" thickBot="1">
      <c r="A28" s="145" t="str">
        <f>Translations!B232</f>
        <v>Olio di scisto</v>
      </c>
      <c r="B28" s="146">
        <v>73.3</v>
      </c>
      <c r="C28" s="147">
        <v>38.1</v>
      </c>
    </row>
    <row r="29" spans="1:3" ht="13.5" thickBot="1">
      <c r="A29" s="145" t="str">
        <f>Translations!B233</f>
        <v>Gasolio/Diesel</v>
      </c>
      <c r="B29" s="146">
        <v>74</v>
      </c>
      <c r="C29" s="147">
        <v>43</v>
      </c>
    </row>
    <row r="30" spans="1:3" ht="13.5" thickBot="1">
      <c r="A30" s="145" t="str">
        <f>Translations!B234</f>
        <v>Olio combustibile residuo</v>
      </c>
      <c r="B30" s="146">
        <v>77.3</v>
      </c>
      <c r="C30" s="147">
        <v>40.4</v>
      </c>
    </row>
    <row r="31" spans="1:3" ht="13.5" thickBot="1">
      <c r="A31" s="145" t="str">
        <f>Translations!B235</f>
        <v>Gas di petrolio liquefatto</v>
      </c>
      <c r="B31" s="146">
        <v>63</v>
      </c>
      <c r="C31" s="147">
        <v>47.3</v>
      </c>
    </row>
    <row r="32" spans="1:3" ht="13.5" thickBot="1">
      <c r="A32" s="145" t="str">
        <f>Translations!B236</f>
        <v>Etano</v>
      </c>
      <c r="B32" s="146">
        <v>61.6</v>
      </c>
      <c r="C32" s="147" t="s">
        <v>523</v>
      </c>
    </row>
    <row r="33" spans="1:3" ht="13.5" thickBot="1">
      <c r="A33" s="145" t="str">
        <f>Translations!B237</f>
        <v>Nafta</v>
      </c>
      <c r="B33" s="146">
        <v>73.3</v>
      </c>
      <c r="C33" s="147">
        <v>44.5</v>
      </c>
    </row>
    <row r="34" spans="1:3" ht="13.5" thickBot="1">
      <c r="A34" s="145" t="str">
        <f>Translations!B238</f>
        <v>Bitume</v>
      </c>
      <c r="B34" s="146">
        <v>80.6</v>
      </c>
      <c r="C34" s="147">
        <v>40.2</v>
      </c>
    </row>
    <row r="35" spans="1:3" ht="13.5" thickBot="1">
      <c r="A35" s="145" t="str">
        <f>Translations!B239</f>
        <v>Lubrificanti</v>
      </c>
      <c r="B35" s="146">
        <v>73.3</v>
      </c>
      <c r="C35" s="147">
        <v>40.2</v>
      </c>
    </row>
    <row r="36" spans="1:3" ht="13.5" thickBot="1">
      <c r="A36" s="145" t="str">
        <f>Translations!B240</f>
        <v>Coke di petrolio</v>
      </c>
      <c r="B36" s="146">
        <v>97.5</v>
      </c>
      <c r="C36" s="147">
        <v>32.5</v>
      </c>
    </row>
    <row r="37" spans="1:3" ht="13.5" thickBot="1">
      <c r="A37" s="145" t="str">
        <f>Translations!B241</f>
        <v>Cariche di raffineria</v>
      </c>
      <c r="B37" s="146">
        <v>73.3</v>
      </c>
      <c r="C37" s="147">
        <v>43</v>
      </c>
    </row>
    <row r="38" spans="1:3" ht="13.5" thickBot="1">
      <c r="A38" s="145" t="str">
        <f>Translations!B242</f>
        <v>Gas di raffineria</v>
      </c>
      <c r="B38" s="146">
        <v>51.3</v>
      </c>
      <c r="C38" s="147">
        <v>49.5</v>
      </c>
    </row>
    <row r="39" spans="1:3" ht="13.5" thickBot="1">
      <c r="A39" s="145" t="str">
        <f>Translations!B243</f>
        <v>Cera di paraffina</v>
      </c>
      <c r="B39" s="146">
        <v>73.3</v>
      </c>
      <c r="C39" s="147">
        <v>40.2</v>
      </c>
    </row>
    <row r="40" spans="1:3" ht="13.5" thickBot="1">
      <c r="A40" s="145" t="str">
        <f>Translations!B244</f>
        <v>Acqua ragia minerale (white spirit) e solventi con punto di ebollizione speciale (SBP)</v>
      </c>
      <c r="B40" s="146">
        <v>73.3</v>
      </c>
      <c r="C40" s="147">
        <v>40.2</v>
      </c>
    </row>
    <row r="41" spans="1:3" ht="13.5" thickBot="1">
      <c r="A41" s="145" t="str">
        <f>Translations!B245</f>
        <v>Altri prodotti petroliferi</v>
      </c>
      <c r="B41" s="146">
        <v>73.3</v>
      </c>
      <c r="C41" s="147">
        <v>40.2</v>
      </c>
    </row>
    <row r="42" spans="1:3" ht="13.5" thickBot="1">
      <c r="A42" s="145" t="str">
        <f>Translations!B246</f>
        <v>Antracite</v>
      </c>
      <c r="B42" s="146">
        <v>98.2</v>
      </c>
      <c r="C42" s="147">
        <v>26.7</v>
      </c>
    </row>
    <row r="43" spans="1:3" ht="13.5" thickBot="1">
      <c r="A43" s="145" t="str">
        <f>Translations!B247</f>
        <v>Carbone da coke</v>
      </c>
      <c r="B43" s="146">
        <v>94.5</v>
      </c>
      <c r="C43" s="147">
        <v>28.2</v>
      </c>
    </row>
    <row r="44" spans="1:3" ht="13.5" thickBot="1">
      <c r="A44" s="145" t="str">
        <f>Translations!B248</f>
        <v>Altro carbone bituminoso</v>
      </c>
      <c r="B44" s="146">
        <v>94.5</v>
      </c>
      <c r="C44" s="147">
        <v>25.8</v>
      </c>
    </row>
    <row r="45" spans="1:3" ht="13.5" thickBot="1">
      <c r="A45" s="145" t="str">
        <f>Translations!B249</f>
        <v>Carbone sub-bituminoso</v>
      </c>
      <c r="B45" s="146">
        <v>96</v>
      </c>
      <c r="C45" s="147">
        <v>18.9</v>
      </c>
    </row>
    <row r="46" spans="1:3" ht="13.5" thickBot="1">
      <c r="A46" s="148" t="str">
        <f>Translations!B250</f>
        <v>Lignite</v>
      </c>
      <c r="B46" s="146">
        <v>101.1</v>
      </c>
      <c r="C46" s="147">
        <v>11.9</v>
      </c>
    </row>
    <row r="47" spans="1:3" ht="13.5" thickBot="1">
      <c r="A47" s="145" t="str">
        <f>Translations!B251</f>
        <v>Scisto bituminoso e sabbie bituminose</v>
      </c>
      <c r="B47" s="146">
        <v>106.6</v>
      </c>
      <c r="C47" s="147">
        <v>8.9</v>
      </c>
    </row>
    <row r="48" spans="1:3" ht="13.5" thickBot="1">
      <c r="A48" s="145" t="str">
        <f>Translations!B252</f>
        <v>Patent Fuel</v>
      </c>
      <c r="B48" s="146">
        <v>97.5</v>
      </c>
      <c r="C48" s="147">
        <v>20.7</v>
      </c>
    </row>
    <row r="49" spans="1:3" ht="13.5" thickBot="1">
      <c r="A49" s="145" t="str">
        <f>Translations!B253</f>
        <v>Coke da cokeria siderurgica e coke di lignite</v>
      </c>
      <c r="B49" s="146">
        <v>107</v>
      </c>
      <c r="C49" s="147">
        <v>28.2</v>
      </c>
    </row>
    <row r="50" spans="1:3" ht="13.5" thickBot="1">
      <c r="A50" s="145" t="str">
        <f>Translations!B254</f>
        <v>Coke da gas</v>
      </c>
      <c r="B50" s="146">
        <v>107</v>
      </c>
      <c r="C50" s="147">
        <v>28.2</v>
      </c>
    </row>
    <row r="51" spans="1:3" ht="13.5" thickBot="1">
      <c r="A51" s="145" t="str">
        <f>Translations!B255</f>
        <v>Catrame di carbone</v>
      </c>
      <c r="B51" s="146">
        <v>80.6</v>
      </c>
      <c r="C51" s="147">
        <v>28</v>
      </c>
    </row>
    <row r="52" spans="1:3" ht="13.5" thickBot="1">
      <c r="A52" s="145" t="str">
        <f>Translations!B256</f>
        <v>Gas di officine del gas</v>
      </c>
      <c r="B52" s="146">
        <v>44.7</v>
      </c>
      <c r="C52" s="147">
        <v>38.7</v>
      </c>
    </row>
    <row r="53" spans="1:3" ht="13.5" thickBot="1">
      <c r="A53" s="145" t="str">
        <f>Translations!B257</f>
        <v>Gas di cokeria siderurgica</v>
      </c>
      <c r="B53" s="146">
        <v>44.7</v>
      </c>
      <c r="C53" s="147">
        <v>38.7</v>
      </c>
    </row>
    <row r="54" spans="1:3" ht="13.5" thickBot="1">
      <c r="A54" s="145" t="str">
        <f>Translations!B258</f>
        <v>Gas di altoforno</v>
      </c>
      <c r="B54" s="146">
        <v>259.4</v>
      </c>
      <c r="C54" s="147">
        <v>2.5</v>
      </c>
    </row>
    <row r="55" spans="1:3" ht="13.5" thickBot="1">
      <c r="A55" s="145" t="str">
        <f>Translations!B259</f>
        <v>Gas di forno di acciaieria a ossigeno</v>
      </c>
      <c r="B55" s="146">
        <v>171.8</v>
      </c>
      <c r="C55" s="147">
        <v>7.1</v>
      </c>
    </row>
    <row r="56" spans="1:3" ht="13.5" thickBot="1">
      <c r="A56" s="145" t="str">
        <f>Translations!B260</f>
        <v>Gas naturale</v>
      </c>
      <c r="B56" s="146">
        <v>56.1</v>
      </c>
      <c r="C56" s="147">
        <v>48</v>
      </c>
    </row>
    <row r="57" spans="1:3" ht="13.5" thickBot="1">
      <c r="A57" s="145" t="str">
        <f>Translations!B261</f>
        <v>Rifiuti industriali</v>
      </c>
      <c r="B57" s="146">
        <v>142.9</v>
      </c>
      <c r="C57" s="147" t="s">
        <v>524</v>
      </c>
    </row>
    <row r="58" spans="1:3" ht="13.5" thickBot="1">
      <c r="A58" s="145" t="str">
        <f>Translations!B262</f>
        <v>Oli usati</v>
      </c>
      <c r="B58" s="146">
        <v>73.3</v>
      </c>
      <c r="C58" s="147">
        <v>40.2</v>
      </c>
    </row>
    <row r="59" spans="1:3" ht="13.5" thickBot="1">
      <c r="A59" s="148" t="str">
        <f>Translations!B263</f>
        <v>Torba</v>
      </c>
      <c r="B59" s="146">
        <v>105.9</v>
      </c>
      <c r="C59" s="147">
        <v>9.8</v>
      </c>
    </row>
    <row r="60" spans="1:3" ht="13.5" thickBot="1">
      <c r="A60" s="145" t="str">
        <f>Translations!B264</f>
        <v>Legno/rifiuti del legno</v>
      </c>
      <c r="B60" s="146">
        <v>0</v>
      </c>
      <c r="C60" s="147">
        <v>15.6</v>
      </c>
    </row>
    <row r="61" spans="1:3" ht="13.5" thickBot="1">
      <c r="A61" s="145" t="str">
        <f>Translations!B265</f>
        <v>Altre biomasse solide primarie</v>
      </c>
      <c r="B61" s="146">
        <v>0</v>
      </c>
      <c r="C61" s="147">
        <v>11.6</v>
      </c>
    </row>
    <row r="62" spans="1:3" ht="13.5" thickBot="1">
      <c r="A62" s="145" t="str">
        <f>Translations!B266</f>
        <v>Carbone di legna</v>
      </c>
      <c r="B62" s="146">
        <v>0</v>
      </c>
      <c r="C62" s="147">
        <v>29.5</v>
      </c>
    </row>
    <row r="63" spans="1:3" ht="13.5" thickBot="1">
      <c r="A63" s="145" t="str">
        <f>Translations!B267</f>
        <v>Biocarburante (benzina)</v>
      </c>
      <c r="B63" s="146">
        <v>0</v>
      </c>
      <c r="C63" s="147">
        <v>27</v>
      </c>
    </row>
    <row r="64" spans="1:3" ht="13.5" thickBot="1">
      <c r="A64" s="145" t="str">
        <f>Translations!B268</f>
        <v>Biodiesel</v>
      </c>
      <c r="B64" s="146">
        <v>0</v>
      </c>
      <c r="C64" s="147">
        <v>27</v>
      </c>
    </row>
    <row r="65" spans="1:3" ht="13.5" thickBot="1">
      <c r="A65" s="145" t="str">
        <f>Translations!B269</f>
        <v>Altri biocombustibili liquidi</v>
      </c>
      <c r="B65" s="146">
        <v>0</v>
      </c>
      <c r="C65" s="147">
        <v>27.4</v>
      </c>
    </row>
    <row r="66" spans="1:3" ht="13.5" thickBot="1">
      <c r="A66" s="145" t="str">
        <f>Translations!B270</f>
        <v>Gas di discarica</v>
      </c>
      <c r="B66" s="146">
        <v>0</v>
      </c>
      <c r="C66" s="147">
        <v>50.4</v>
      </c>
    </row>
    <row r="67" spans="1:3" ht="13.5" thickBot="1">
      <c r="A67" s="145" t="str">
        <f>Translations!B271</f>
        <v>Gas di fanghi</v>
      </c>
      <c r="B67" s="146">
        <v>0</v>
      </c>
      <c r="C67" s="147">
        <v>50.4</v>
      </c>
    </row>
    <row r="68" spans="1:3" ht="13.5" thickBot="1">
      <c r="A68" s="145" t="str">
        <f>Translations!B272</f>
        <v>Altri biogas</v>
      </c>
      <c r="B68" s="146">
        <v>0</v>
      </c>
      <c r="C68" s="147">
        <v>50.4</v>
      </c>
    </row>
    <row r="69" spans="1:3" ht="13.5" thickBot="1">
      <c r="A69" s="149" t="str">
        <f>Translations!B273</f>
        <v>Pneumatici usati</v>
      </c>
      <c r="B69" s="146">
        <v>85</v>
      </c>
      <c r="C69" s="147" t="s">
        <v>524</v>
      </c>
    </row>
    <row r="70" spans="1:3" ht="13.5" thickBot="1">
      <c r="A70" s="145" t="str">
        <f>Translations!B274</f>
        <v>Monossido di carbonio</v>
      </c>
      <c r="B70" s="146">
        <v>155.2</v>
      </c>
      <c r="C70" s="147">
        <v>10.1</v>
      </c>
    </row>
    <row r="71" spans="1:3" ht="13.5" thickBot="1">
      <c r="A71" s="150" t="str">
        <f>Translations!B275</f>
        <v>Metano</v>
      </c>
      <c r="B71" s="151">
        <v>54.9</v>
      </c>
      <c r="C71" s="152">
        <v>50</v>
      </c>
    </row>
    <row r="72" spans="1:3" ht="13.5" thickBot="1">
      <c r="A72" s="150"/>
      <c r="B72" s="151"/>
      <c r="C72" s="152"/>
    </row>
    <row r="73" spans="1:3" ht="12.75">
      <c r="A73" s="153" t="s">
        <v>526</v>
      </c>
      <c r="B73" s="93"/>
      <c r="C73" s="93"/>
    </row>
  </sheetData>
  <sheetProtection sheet="1" objects="1" scenarios="1" formatCells="0" formatColumns="0" formatRows="0"/>
  <mergeCells count="1">
    <mergeCell ref="C18:C19"/>
  </mergeCells>
  <dataValidations count="1">
    <dataValidation type="list" allowBlank="1" showInputMessage="1" showErrorMessage="1" sqref="E2:E5 B2:B5">
      <formula1>Euconst_TrueFalse</formula1>
    </dataValidation>
  </dataValidations>
  <printOptions/>
  <pageMargins left="0.787401575" right="0.787401575" top="0.984251969" bottom="0.984251969" header="0.4921259845" footer="0.4921259845"/>
  <pageSetup fitToHeight="4" fitToWidth="1" horizontalDpi="600" verticalDpi="600" orientation="portrait" paperSize="9" scale="73" r:id="rId1"/>
  <headerFooter alignWithMargins="0">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indexed="17"/>
    <pageSetUpPr fitToPage="1"/>
  </sheetPr>
  <dimension ref="A1:K1595"/>
  <sheetViews>
    <sheetView zoomScalePageLayoutView="0" workbookViewId="0" topLeftCell="A1484">
      <selection activeCell="B1506" sqref="B1506"/>
    </sheetView>
  </sheetViews>
  <sheetFormatPr defaultColWidth="9.140625" defaultRowHeight="12.75"/>
  <cols>
    <col min="1" max="1" width="9.421875" style="155" customWidth="1"/>
    <col min="2" max="2" width="70.7109375" style="542" customWidth="1"/>
    <col min="3" max="3" width="70.7109375" style="155" customWidth="1"/>
    <col min="4" max="16384" width="9.140625" style="155" customWidth="1"/>
  </cols>
  <sheetData>
    <row r="1" spans="1:3" s="154" customFormat="1" ht="15">
      <c r="A1" s="154" t="s">
        <v>430</v>
      </c>
      <c r="B1" s="541" t="s">
        <v>69</v>
      </c>
      <c r="C1" s="154" t="s">
        <v>70</v>
      </c>
    </row>
    <row r="2" spans="1:2" ht="15">
      <c r="A2" s="252">
        <v>1</v>
      </c>
      <c r="B2" s="116" t="s">
        <v>571</v>
      </c>
    </row>
    <row r="3" spans="1:2" ht="15">
      <c r="A3" s="252">
        <v>2</v>
      </c>
      <c r="B3" s="116" t="s">
        <v>572</v>
      </c>
    </row>
    <row r="4" spans="1:2" ht="15">
      <c r="A4" s="252">
        <v>3</v>
      </c>
      <c r="B4" s="116" t="s">
        <v>573</v>
      </c>
    </row>
    <row r="5" spans="1:2" ht="15">
      <c r="A5" s="252">
        <v>4</v>
      </c>
      <c r="B5" s="116" t="s">
        <v>574</v>
      </c>
    </row>
    <row r="6" spans="1:2" ht="15">
      <c r="A6" s="252">
        <v>5</v>
      </c>
      <c r="B6" s="116" t="s">
        <v>575</v>
      </c>
    </row>
    <row r="7" spans="1:2" ht="15">
      <c r="A7" s="252">
        <v>6</v>
      </c>
      <c r="B7" s="116" t="s">
        <v>576</v>
      </c>
    </row>
    <row r="8" spans="1:2" ht="15">
      <c r="A8" s="252">
        <v>7</v>
      </c>
      <c r="B8" s="116" t="s">
        <v>577</v>
      </c>
    </row>
    <row r="9" spans="1:2" ht="15">
      <c r="A9" s="252">
        <v>8</v>
      </c>
      <c r="B9" s="116" t="s">
        <v>578</v>
      </c>
    </row>
    <row r="10" spans="1:2" ht="15">
      <c r="A10" s="252">
        <v>9</v>
      </c>
      <c r="B10" s="116" t="s">
        <v>579</v>
      </c>
    </row>
    <row r="11" spans="1:2" ht="15">
      <c r="A11" s="252">
        <v>10</v>
      </c>
      <c r="B11" s="116" t="s">
        <v>580</v>
      </c>
    </row>
    <row r="12" spans="1:2" ht="15">
      <c r="A12" s="252">
        <v>11</v>
      </c>
      <c r="B12" s="116" t="s">
        <v>581</v>
      </c>
    </row>
    <row r="13" spans="1:2" ht="15">
      <c r="A13" s="252">
        <v>12</v>
      </c>
      <c r="B13" s="116" t="s">
        <v>582</v>
      </c>
    </row>
    <row r="14" spans="1:2" ht="15">
      <c r="A14" s="252">
        <v>13</v>
      </c>
      <c r="B14" s="116" t="s">
        <v>583</v>
      </c>
    </row>
    <row r="15" spans="1:2" ht="15">
      <c r="A15" s="252">
        <v>14</v>
      </c>
      <c r="B15" s="116" t="s">
        <v>584</v>
      </c>
    </row>
    <row r="16" spans="1:2" ht="15">
      <c r="A16" s="252">
        <v>15</v>
      </c>
      <c r="B16" s="116" t="s">
        <v>585</v>
      </c>
    </row>
    <row r="17" spans="1:2" ht="15">
      <c r="A17" s="252">
        <v>16</v>
      </c>
      <c r="B17" s="116" t="s">
        <v>586</v>
      </c>
    </row>
    <row r="18" spans="1:2" ht="15">
      <c r="A18" s="252">
        <v>17</v>
      </c>
      <c r="B18" s="116" t="s">
        <v>587</v>
      </c>
    </row>
    <row r="19" spans="1:2" ht="15">
      <c r="A19" s="252">
        <v>18</v>
      </c>
      <c r="B19" s="116" t="s">
        <v>588</v>
      </c>
    </row>
    <row r="20" spans="1:2" ht="15">
      <c r="A20" s="252">
        <v>19</v>
      </c>
      <c r="B20" s="116" t="s">
        <v>589</v>
      </c>
    </row>
    <row r="21" spans="1:2" ht="15">
      <c r="A21" s="252">
        <v>20</v>
      </c>
      <c r="B21" s="116" t="s">
        <v>590</v>
      </c>
    </row>
    <row r="22" spans="1:2" ht="15">
      <c r="A22" s="252">
        <v>21</v>
      </c>
      <c r="B22" s="116" t="s">
        <v>591</v>
      </c>
    </row>
    <row r="23" spans="1:2" ht="15">
      <c r="A23" s="252">
        <v>22</v>
      </c>
      <c r="B23" s="116" t="s">
        <v>592</v>
      </c>
    </row>
    <row r="24" spans="1:2" ht="15">
      <c r="A24" s="252">
        <v>23</v>
      </c>
      <c r="B24" s="116" t="s">
        <v>593</v>
      </c>
    </row>
    <row r="25" spans="1:2" ht="15">
      <c r="A25" s="252">
        <v>24</v>
      </c>
      <c r="B25" s="116" t="s">
        <v>594</v>
      </c>
    </row>
    <row r="26" spans="1:2" ht="15">
      <c r="A26" s="252">
        <v>25</v>
      </c>
      <c r="B26" s="116" t="s">
        <v>595</v>
      </c>
    </row>
    <row r="27" spans="1:2" ht="15">
      <c r="A27" s="252">
        <v>26</v>
      </c>
      <c r="B27" s="116" t="s">
        <v>596</v>
      </c>
    </row>
    <row r="28" spans="1:2" ht="15">
      <c r="A28" s="252">
        <v>27</v>
      </c>
      <c r="B28" s="116" t="s">
        <v>594</v>
      </c>
    </row>
    <row r="29" spans="1:2" ht="15">
      <c r="A29" s="252">
        <v>28</v>
      </c>
      <c r="B29" s="116" t="s">
        <v>597</v>
      </c>
    </row>
    <row r="30" spans="1:2" ht="15">
      <c r="A30" s="252">
        <v>29</v>
      </c>
      <c r="B30" s="116" t="s">
        <v>598</v>
      </c>
    </row>
    <row r="31" spans="1:2" ht="15">
      <c r="A31" s="252">
        <v>30</v>
      </c>
      <c r="B31" s="116" t="s">
        <v>599</v>
      </c>
    </row>
    <row r="32" spans="1:2" ht="15">
      <c r="A32" s="252">
        <v>31</v>
      </c>
      <c r="B32" s="116" t="s">
        <v>600</v>
      </c>
    </row>
    <row r="33" spans="1:2" ht="15">
      <c r="A33" s="252">
        <v>32</v>
      </c>
      <c r="B33" s="116" t="s">
        <v>601</v>
      </c>
    </row>
    <row r="34" spans="1:2" ht="15">
      <c r="A34" s="252">
        <v>33</v>
      </c>
      <c r="B34" s="116" t="s">
        <v>602</v>
      </c>
    </row>
    <row r="35" spans="1:2" ht="15">
      <c r="A35" s="252">
        <v>34</v>
      </c>
      <c r="B35" s="116" t="s">
        <v>603</v>
      </c>
    </row>
    <row r="36" spans="1:2" ht="15">
      <c r="A36" s="252">
        <v>35</v>
      </c>
      <c r="B36" s="116" t="s">
        <v>604</v>
      </c>
    </row>
    <row r="37" spans="1:2" ht="15">
      <c r="A37" s="252">
        <v>36</v>
      </c>
      <c r="B37" s="116" t="s">
        <v>600</v>
      </c>
    </row>
    <row r="38" spans="1:2" ht="15">
      <c r="A38" s="252">
        <v>37</v>
      </c>
      <c r="B38" s="116" t="s">
        <v>601</v>
      </c>
    </row>
    <row r="39" spans="1:2" ht="15">
      <c r="A39" s="252">
        <v>38</v>
      </c>
      <c r="B39" s="116" t="s">
        <v>602</v>
      </c>
    </row>
    <row r="40" spans="1:2" ht="15">
      <c r="A40" s="252">
        <v>39</v>
      </c>
      <c r="B40" s="116" t="s">
        <v>603</v>
      </c>
    </row>
    <row r="41" spans="1:2" ht="15">
      <c r="A41" s="252">
        <v>40</v>
      </c>
      <c r="B41" s="116" t="s">
        <v>605</v>
      </c>
    </row>
    <row r="42" spans="1:2" ht="15">
      <c r="A42" s="252">
        <v>41</v>
      </c>
      <c r="B42" s="116" t="s">
        <v>606</v>
      </c>
    </row>
    <row r="43" spans="1:2" ht="15">
      <c r="A43" s="252">
        <v>42</v>
      </c>
      <c r="B43" s="116" t="s">
        <v>607</v>
      </c>
    </row>
    <row r="44" spans="1:2" ht="15">
      <c r="A44" s="252">
        <v>43</v>
      </c>
      <c r="B44" s="116" t="s">
        <v>608</v>
      </c>
    </row>
    <row r="45" spans="1:2" ht="15">
      <c r="A45" s="252">
        <v>44</v>
      </c>
      <c r="B45" s="116" t="s">
        <v>609</v>
      </c>
    </row>
    <row r="46" spans="1:2" ht="15">
      <c r="A46" s="252">
        <v>45</v>
      </c>
      <c r="B46" s="116" t="s">
        <v>610</v>
      </c>
    </row>
    <row r="47" spans="1:2" ht="15">
      <c r="A47" s="252">
        <v>46</v>
      </c>
      <c r="B47" s="116" t="s">
        <v>611</v>
      </c>
    </row>
    <row r="48" spans="1:2" ht="15">
      <c r="A48" s="252">
        <v>47</v>
      </c>
      <c r="B48" s="116" t="s">
        <v>612</v>
      </c>
    </row>
    <row r="49" spans="1:2" ht="15">
      <c r="A49" s="252">
        <v>48</v>
      </c>
      <c r="B49" s="116" t="s">
        <v>613</v>
      </c>
    </row>
    <row r="50" spans="1:2" ht="15">
      <c r="A50" s="252">
        <v>49</v>
      </c>
      <c r="B50" s="116" t="s">
        <v>614</v>
      </c>
    </row>
    <row r="51" spans="1:2" ht="15">
      <c r="A51" s="252">
        <v>50</v>
      </c>
      <c r="B51" s="116" t="s">
        <v>615</v>
      </c>
    </row>
    <row r="52" spans="1:2" ht="15">
      <c r="A52" s="252">
        <v>51</v>
      </c>
      <c r="B52" s="116" t="s">
        <v>616</v>
      </c>
    </row>
    <row r="53" spans="1:2" ht="15">
      <c r="A53" s="252">
        <v>54</v>
      </c>
      <c r="B53" s="116" t="s">
        <v>617</v>
      </c>
    </row>
    <row r="54" spans="1:2" ht="15">
      <c r="A54" s="252">
        <v>55</v>
      </c>
      <c r="B54" s="116" t="s">
        <v>618</v>
      </c>
    </row>
    <row r="55" spans="1:2" ht="15">
      <c r="A55" s="252">
        <v>56</v>
      </c>
      <c r="B55" s="116" t="s">
        <v>619</v>
      </c>
    </row>
    <row r="56" spans="1:2" ht="15">
      <c r="A56" s="252">
        <v>57</v>
      </c>
      <c r="B56" s="116" t="s">
        <v>620</v>
      </c>
    </row>
    <row r="57" spans="1:2" ht="15">
      <c r="A57" s="252">
        <v>58</v>
      </c>
      <c r="B57" s="116" t="s">
        <v>621</v>
      </c>
    </row>
    <row r="58" spans="1:2" ht="15">
      <c r="A58" s="252">
        <v>59</v>
      </c>
      <c r="B58" s="116" t="s">
        <v>622</v>
      </c>
    </row>
    <row r="59" spans="1:2" ht="15">
      <c r="A59" s="252">
        <v>60</v>
      </c>
      <c r="B59" s="116" t="s">
        <v>623</v>
      </c>
    </row>
    <row r="60" spans="1:2" ht="15">
      <c r="A60" s="252">
        <v>61</v>
      </c>
      <c r="B60" s="116" t="s">
        <v>624</v>
      </c>
    </row>
    <row r="61" spans="1:2" ht="15">
      <c r="A61" s="252">
        <v>62</v>
      </c>
      <c r="B61" s="116" t="s">
        <v>301</v>
      </c>
    </row>
    <row r="62" spans="1:2" ht="15">
      <c r="A62" s="252">
        <v>63</v>
      </c>
      <c r="B62" s="116" t="s">
        <v>625</v>
      </c>
    </row>
    <row r="63" spans="1:2" ht="15">
      <c r="A63" s="252">
        <v>64</v>
      </c>
      <c r="B63" s="116" t="s">
        <v>626</v>
      </c>
    </row>
    <row r="64" spans="1:2" ht="15">
      <c r="A64" s="252">
        <v>65</v>
      </c>
      <c r="B64" s="116" t="s">
        <v>627</v>
      </c>
    </row>
    <row r="65" spans="1:2" ht="15">
      <c r="A65" s="252">
        <v>66</v>
      </c>
      <c r="B65" s="116" t="s">
        <v>628</v>
      </c>
    </row>
    <row r="66" spans="1:2" ht="15">
      <c r="A66" s="252">
        <v>67</v>
      </c>
      <c r="B66" s="116" t="s">
        <v>629</v>
      </c>
    </row>
    <row r="67" spans="1:2" ht="15">
      <c r="A67" s="252">
        <v>68</v>
      </c>
      <c r="B67" s="116" t="s">
        <v>630</v>
      </c>
    </row>
    <row r="68" spans="1:2" ht="15">
      <c r="A68" s="252">
        <v>69</v>
      </c>
      <c r="B68" s="116" t="s">
        <v>631</v>
      </c>
    </row>
    <row r="69" spans="1:2" ht="15">
      <c r="A69" s="252">
        <v>70</v>
      </c>
      <c r="B69" s="116" t="s">
        <v>630</v>
      </c>
    </row>
    <row r="70" spans="1:2" ht="15">
      <c r="A70" s="252">
        <v>71</v>
      </c>
      <c r="B70" s="116" t="s">
        <v>632</v>
      </c>
    </row>
    <row r="71" spans="1:2" ht="15">
      <c r="A71" s="252">
        <v>72</v>
      </c>
      <c r="B71" s="116" t="s">
        <v>633</v>
      </c>
    </row>
    <row r="72" spans="1:2" ht="15">
      <c r="A72" s="252">
        <v>76</v>
      </c>
      <c r="B72" s="116" t="s">
        <v>634</v>
      </c>
    </row>
    <row r="73" spans="1:2" ht="15">
      <c r="A73" s="252">
        <v>77</v>
      </c>
      <c r="B73" s="116" t="s">
        <v>635</v>
      </c>
    </row>
    <row r="74" spans="1:2" ht="15">
      <c r="A74" s="252">
        <v>78</v>
      </c>
      <c r="B74" s="116" t="s">
        <v>636</v>
      </c>
    </row>
    <row r="75" spans="1:2" ht="15">
      <c r="A75" s="252">
        <v>79</v>
      </c>
      <c r="B75" s="116" t="s">
        <v>637</v>
      </c>
    </row>
    <row r="76" spans="1:2" ht="15">
      <c r="A76" s="252">
        <v>80</v>
      </c>
      <c r="B76" s="116" t="s">
        <v>638</v>
      </c>
    </row>
    <row r="77" spans="1:2" ht="15">
      <c r="A77" s="252">
        <v>81</v>
      </c>
      <c r="B77" s="116" t="s">
        <v>639</v>
      </c>
    </row>
    <row r="78" spans="1:2" ht="15">
      <c r="A78" s="252">
        <v>82</v>
      </c>
      <c r="B78" s="116" t="s">
        <v>640</v>
      </c>
    </row>
    <row r="79" spans="1:2" ht="15">
      <c r="A79" s="252">
        <v>83</v>
      </c>
      <c r="B79" s="116" t="s">
        <v>641</v>
      </c>
    </row>
    <row r="80" spans="1:2" ht="15">
      <c r="A80" s="252">
        <v>84</v>
      </c>
      <c r="B80" s="116" t="s">
        <v>642</v>
      </c>
    </row>
    <row r="81" spans="1:2" ht="15">
      <c r="A81" s="252">
        <v>85</v>
      </c>
      <c r="B81" s="116" t="s">
        <v>643</v>
      </c>
    </row>
    <row r="82" spans="1:2" ht="15">
      <c r="A82" s="252">
        <v>86</v>
      </c>
      <c r="B82" s="116" t="s">
        <v>644</v>
      </c>
    </row>
    <row r="83" spans="1:2" ht="15">
      <c r="A83" s="252">
        <v>87</v>
      </c>
      <c r="B83" s="116" t="s">
        <v>645</v>
      </c>
    </row>
    <row r="84" spans="1:2" ht="15">
      <c r="A84" s="252">
        <v>88</v>
      </c>
      <c r="B84" s="116" t="s">
        <v>646</v>
      </c>
    </row>
    <row r="85" spans="1:2" ht="15">
      <c r="A85" s="252">
        <v>89</v>
      </c>
      <c r="B85" s="116" t="s">
        <v>647</v>
      </c>
    </row>
    <row r="86" spans="1:2" ht="15">
      <c r="A86" s="252">
        <v>90</v>
      </c>
      <c r="B86" s="116" t="s">
        <v>648</v>
      </c>
    </row>
    <row r="87" spans="1:2" ht="15">
      <c r="A87" s="252">
        <v>91</v>
      </c>
      <c r="B87" s="116" t="s">
        <v>649</v>
      </c>
    </row>
    <row r="88" spans="1:2" ht="15">
      <c r="A88" s="384">
        <v>92</v>
      </c>
      <c r="B88" s="318" t="s">
        <v>650</v>
      </c>
    </row>
    <row r="89" spans="1:2" ht="15">
      <c r="A89" s="384">
        <v>93</v>
      </c>
      <c r="B89" s="318" t="s">
        <v>651</v>
      </c>
    </row>
    <row r="90" spans="1:2" ht="15">
      <c r="A90" s="252">
        <v>94</v>
      </c>
      <c r="B90" s="318" t="s">
        <v>652</v>
      </c>
    </row>
    <row r="91" spans="1:2" ht="15">
      <c r="A91" s="252">
        <v>96</v>
      </c>
      <c r="B91" s="318" t="s">
        <v>653</v>
      </c>
    </row>
    <row r="92" spans="1:2" ht="15">
      <c r="A92" s="252">
        <v>97</v>
      </c>
      <c r="B92" s="318" t="s">
        <v>654</v>
      </c>
    </row>
    <row r="93" spans="1:2" ht="15">
      <c r="A93" s="252">
        <v>98</v>
      </c>
      <c r="B93" s="318" t="s">
        <v>655</v>
      </c>
    </row>
    <row r="94" spans="1:2" ht="15">
      <c r="A94" s="252">
        <v>99</v>
      </c>
      <c r="B94" s="318" t="s">
        <v>656</v>
      </c>
    </row>
    <row r="95" spans="1:2" ht="15">
      <c r="A95" s="252">
        <v>100</v>
      </c>
      <c r="B95" s="318" t="s">
        <v>657</v>
      </c>
    </row>
    <row r="96" spans="1:2" ht="15">
      <c r="A96" s="252">
        <v>101</v>
      </c>
      <c r="B96" s="318" t="s">
        <v>658</v>
      </c>
    </row>
    <row r="97" spans="1:2" ht="15">
      <c r="A97" s="252">
        <v>102</v>
      </c>
      <c r="B97" s="587" t="s">
        <v>659</v>
      </c>
    </row>
    <row r="98" spans="1:2" ht="15">
      <c r="A98" s="252">
        <v>103</v>
      </c>
      <c r="B98" s="587" t="s">
        <v>660</v>
      </c>
    </row>
    <row r="99" spans="1:2" ht="15">
      <c r="A99" s="252">
        <v>104</v>
      </c>
      <c r="B99" s="587" t="s">
        <v>661</v>
      </c>
    </row>
    <row r="100" spans="1:2" ht="15">
      <c r="A100" s="252">
        <v>105</v>
      </c>
      <c r="B100" s="587" t="s">
        <v>662</v>
      </c>
    </row>
    <row r="101" spans="1:2" ht="15">
      <c r="A101" s="252">
        <v>106</v>
      </c>
      <c r="B101" s="587" t="s">
        <v>663</v>
      </c>
    </row>
    <row r="102" spans="1:2" ht="15">
      <c r="A102" s="252">
        <v>107</v>
      </c>
      <c r="B102" s="587" t="s">
        <v>664</v>
      </c>
    </row>
    <row r="103" spans="1:2" ht="15">
      <c r="A103" s="252">
        <v>108</v>
      </c>
      <c r="B103" s="587" t="s">
        <v>665</v>
      </c>
    </row>
    <row r="104" spans="1:2" ht="15">
      <c r="A104" s="252">
        <v>109</v>
      </c>
      <c r="B104" s="587" t="s">
        <v>666</v>
      </c>
    </row>
    <row r="105" spans="1:2" ht="15">
      <c r="A105" s="252">
        <v>110</v>
      </c>
      <c r="B105" s="587" t="s">
        <v>667</v>
      </c>
    </row>
    <row r="106" spans="1:2" ht="15">
      <c r="A106" s="252">
        <v>111</v>
      </c>
      <c r="B106" s="587" t="s">
        <v>668</v>
      </c>
    </row>
    <row r="107" spans="1:2" ht="15">
      <c r="A107" s="252">
        <v>112</v>
      </c>
      <c r="B107" s="587" t="s">
        <v>669</v>
      </c>
    </row>
    <row r="108" spans="1:2" ht="15">
      <c r="A108" s="252">
        <v>113</v>
      </c>
      <c r="B108" s="318" t="s">
        <v>463</v>
      </c>
    </row>
    <row r="109" spans="1:2" ht="15">
      <c r="A109" s="252">
        <v>114</v>
      </c>
      <c r="B109" s="318" t="s">
        <v>670</v>
      </c>
    </row>
    <row r="110" spans="1:2" ht="15">
      <c r="A110" s="252">
        <v>115</v>
      </c>
      <c r="B110" s="116" t="s">
        <v>465</v>
      </c>
    </row>
    <row r="111" spans="1:2" ht="15">
      <c r="A111" s="252">
        <v>116</v>
      </c>
      <c r="B111" s="116" t="s">
        <v>671</v>
      </c>
    </row>
    <row r="112" spans="1:2" ht="15">
      <c r="A112" s="252">
        <v>117</v>
      </c>
      <c r="B112" s="116" t="s">
        <v>672</v>
      </c>
    </row>
    <row r="113" spans="1:2" ht="15">
      <c r="A113" s="252">
        <v>118</v>
      </c>
      <c r="B113" s="116" t="s">
        <v>673</v>
      </c>
    </row>
    <row r="114" spans="1:2" ht="15">
      <c r="A114" s="252">
        <v>119</v>
      </c>
      <c r="B114" s="116" t="s">
        <v>469</v>
      </c>
    </row>
    <row r="115" spans="1:2" ht="15">
      <c r="A115" s="252">
        <v>120</v>
      </c>
      <c r="B115" s="116" t="s">
        <v>674</v>
      </c>
    </row>
    <row r="116" spans="1:2" ht="15">
      <c r="A116" s="252">
        <v>121</v>
      </c>
      <c r="B116" s="116" t="s">
        <v>675</v>
      </c>
    </row>
    <row r="117" spans="1:2" ht="15">
      <c r="A117" s="252">
        <v>122</v>
      </c>
      <c r="B117" s="116" t="s">
        <v>676</v>
      </c>
    </row>
    <row r="118" spans="1:2" ht="15">
      <c r="A118" s="252">
        <v>123</v>
      </c>
      <c r="B118" s="116" t="s">
        <v>677</v>
      </c>
    </row>
    <row r="119" spans="1:2" ht="15">
      <c r="A119" s="252">
        <v>124</v>
      </c>
      <c r="B119" s="116" t="s">
        <v>678</v>
      </c>
    </row>
    <row r="120" spans="1:2" ht="15">
      <c r="A120" s="252">
        <v>125</v>
      </c>
      <c r="B120" s="116" t="s">
        <v>679</v>
      </c>
    </row>
    <row r="121" spans="1:2" ht="15">
      <c r="A121" s="252">
        <v>126</v>
      </c>
      <c r="B121" s="116" t="s">
        <v>680</v>
      </c>
    </row>
    <row r="122" spans="1:2" ht="15">
      <c r="A122" s="252">
        <v>127</v>
      </c>
      <c r="B122" s="116" t="s">
        <v>681</v>
      </c>
    </row>
    <row r="123" spans="1:2" ht="15">
      <c r="A123" s="252">
        <v>128</v>
      </c>
      <c r="B123" s="116" t="s">
        <v>682</v>
      </c>
    </row>
    <row r="124" spans="1:2" ht="15">
      <c r="A124" s="252">
        <v>129</v>
      </c>
      <c r="B124" s="116" t="s">
        <v>63</v>
      </c>
    </row>
    <row r="125" spans="1:2" ht="15">
      <c r="A125" s="252">
        <v>130</v>
      </c>
      <c r="B125" s="116" t="s">
        <v>683</v>
      </c>
    </row>
    <row r="126" spans="1:2" ht="15">
      <c r="A126" s="252">
        <v>131</v>
      </c>
      <c r="B126" s="116" t="s">
        <v>684</v>
      </c>
    </row>
    <row r="127" spans="1:2" ht="15">
      <c r="A127" s="252">
        <v>132</v>
      </c>
      <c r="B127" s="116" t="s">
        <v>506</v>
      </c>
    </row>
    <row r="128" spans="1:2" ht="15">
      <c r="A128" s="252">
        <v>133</v>
      </c>
      <c r="B128" s="116" t="s">
        <v>685</v>
      </c>
    </row>
    <row r="129" spans="1:2" ht="15">
      <c r="A129" s="252">
        <v>134</v>
      </c>
      <c r="B129" s="116" t="s">
        <v>686</v>
      </c>
    </row>
    <row r="130" spans="1:2" ht="15">
      <c r="A130" s="252">
        <v>135</v>
      </c>
      <c r="B130" s="116" t="s">
        <v>687</v>
      </c>
    </row>
    <row r="131" spans="1:2" ht="15">
      <c r="A131" s="252">
        <v>136</v>
      </c>
      <c r="B131" s="116" t="s">
        <v>688</v>
      </c>
    </row>
    <row r="132" spans="1:2" ht="15">
      <c r="A132" s="252">
        <v>137</v>
      </c>
      <c r="B132" s="116" t="s">
        <v>322</v>
      </c>
    </row>
    <row r="133" spans="1:2" ht="15">
      <c r="A133" s="252">
        <v>138</v>
      </c>
      <c r="B133" s="116" t="s">
        <v>689</v>
      </c>
    </row>
    <row r="134" spans="1:2" ht="15">
      <c r="A134" s="252">
        <v>139</v>
      </c>
      <c r="B134" s="116" t="s">
        <v>324</v>
      </c>
    </row>
    <row r="135" spans="1:2" ht="15">
      <c r="A135" s="252">
        <v>140</v>
      </c>
      <c r="B135" s="116" t="s">
        <v>690</v>
      </c>
    </row>
    <row r="136" spans="1:2" ht="15">
      <c r="A136" s="252">
        <v>141</v>
      </c>
      <c r="B136" s="116" t="s">
        <v>691</v>
      </c>
    </row>
    <row r="137" spans="1:2" ht="15">
      <c r="A137" s="252">
        <v>142</v>
      </c>
      <c r="B137" s="116" t="s">
        <v>692</v>
      </c>
    </row>
    <row r="138" spans="1:2" ht="15">
      <c r="A138" s="252">
        <v>143</v>
      </c>
      <c r="B138" s="119" t="s">
        <v>693</v>
      </c>
    </row>
    <row r="139" spans="1:2" ht="15">
      <c r="A139" s="252">
        <v>144</v>
      </c>
      <c r="B139" s="588" t="s">
        <v>694</v>
      </c>
    </row>
    <row r="140" spans="1:2" ht="15">
      <c r="A140" s="252">
        <v>145</v>
      </c>
      <c r="B140" s="588" t="s">
        <v>695</v>
      </c>
    </row>
    <row r="141" spans="1:2" ht="15">
      <c r="A141" s="252">
        <v>146</v>
      </c>
      <c r="B141" s="588" t="s">
        <v>696</v>
      </c>
    </row>
    <row r="142" spans="1:2" ht="15">
      <c r="A142" s="252">
        <v>147</v>
      </c>
      <c r="B142" s="588" t="s">
        <v>697</v>
      </c>
    </row>
    <row r="143" spans="1:2" ht="15">
      <c r="A143" s="252">
        <v>148</v>
      </c>
      <c r="B143" s="588" t="s">
        <v>698</v>
      </c>
    </row>
    <row r="144" spans="1:2" ht="15">
      <c r="A144" s="252">
        <v>149</v>
      </c>
      <c r="B144" s="588" t="s">
        <v>699</v>
      </c>
    </row>
    <row r="145" spans="1:2" ht="15">
      <c r="A145" s="252">
        <v>150</v>
      </c>
      <c r="B145" s="588" t="s">
        <v>700</v>
      </c>
    </row>
    <row r="146" spans="1:2" ht="15">
      <c r="A146" s="252">
        <v>151</v>
      </c>
      <c r="B146" s="588" t="s">
        <v>701</v>
      </c>
    </row>
    <row r="147" spans="1:2" ht="15">
      <c r="A147" s="252">
        <v>152</v>
      </c>
      <c r="B147" s="588" t="s">
        <v>702</v>
      </c>
    </row>
    <row r="148" spans="1:2" ht="15">
      <c r="A148" s="252">
        <v>153</v>
      </c>
      <c r="B148" s="588" t="s">
        <v>703</v>
      </c>
    </row>
    <row r="149" spans="1:2" ht="15">
      <c r="A149" s="252">
        <v>154</v>
      </c>
      <c r="B149" s="588" t="s">
        <v>704</v>
      </c>
    </row>
    <row r="150" spans="1:2" ht="15">
      <c r="A150" s="252">
        <v>155</v>
      </c>
      <c r="B150" s="588" t="s">
        <v>705</v>
      </c>
    </row>
    <row r="151" spans="1:2" ht="15">
      <c r="A151" s="252">
        <v>156</v>
      </c>
      <c r="B151" s="588" t="s">
        <v>706</v>
      </c>
    </row>
    <row r="152" spans="1:2" ht="15">
      <c r="A152" s="252">
        <v>157</v>
      </c>
      <c r="B152" s="588" t="s">
        <v>707</v>
      </c>
    </row>
    <row r="153" spans="1:2" ht="15">
      <c r="A153" s="252">
        <v>158</v>
      </c>
      <c r="B153" s="588" t="s">
        <v>708</v>
      </c>
    </row>
    <row r="154" spans="1:2" ht="15">
      <c r="A154" s="252">
        <v>159</v>
      </c>
      <c r="B154" s="588" t="s">
        <v>709</v>
      </c>
    </row>
    <row r="155" spans="1:2" ht="15">
      <c r="A155" s="252">
        <v>160</v>
      </c>
      <c r="B155" s="588" t="s">
        <v>710</v>
      </c>
    </row>
    <row r="156" spans="1:2" ht="15">
      <c r="A156" s="252">
        <v>161</v>
      </c>
      <c r="B156" s="588" t="s">
        <v>711</v>
      </c>
    </row>
    <row r="157" spans="1:2" ht="15">
      <c r="A157" s="252">
        <v>162</v>
      </c>
      <c r="B157" s="588" t="s">
        <v>712</v>
      </c>
    </row>
    <row r="158" spans="1:2" ht="15">
      <c r="A158" s="252">
        <v>163</v>
      </c>
      <c r="B158" s="588" t="s">
        <v>713</v>
      </c>
    </row>
    <row r="159" spans="1:2" ht="15">
      <c r="A159" s="252">
        <v>164</v>
      </c>
      <c r="B159" s="588" t="s">
        <v>714</v>
      </c>
    </row>
    <row r="160" spans="1:2" ht="15">
      <c r="A160" s="252">
        <v>165</v>
      </c>
      <c r="B160" s="588" t="s">
        <v>715</v>
      </c>
    </row>
    <row r="161" spans="1:2" ht="15">
      <c r="A161" s="252">
        <v>166</v>
      </c>
      <c r="B161" s="588" t="s">
        <v>716</v>
      </c>
    </row>
    <row r="162" spans="1:2" ht="15">
      <c r="A162" s="252">
        <v>167</v>
      </c>
      <c r="B162" s="588" t="s">
        <v>717</v>
      </c>
    </row>
    <row r="163" spans="1:2" ht="15">
      <c r="A163" s="252">
        <v>168</v>
      </c>
      <c r="B163" s="588" t="s">
        <v>718</v>
      </c>
    </row>
    <row r="164" spans="1:2" ht="15">
      <c r="A164" s="252">
        <v>169</v>
      </c>
      <c r="B164" s="588" t="s">
        <v>719</v>
      </c>
    </row>
    <row r="165" spans="1:2" ht="15">
      <c r="A165" s="252">
        <v>170</v>
      </c>
      <c r="B165" s="588" t="s">
        <v>720</v>
      </c>
    </row>
    <row r="166" spans="1:2" ht="15">
      <c r="A166" s="252">
        <v>171</v>
      </c>
      <c r="B166" s="116" t="s">
        <v>721</v>
      </c>
    </row>
    <row r="167" spans="1:2" ht="15">
      <c r="A167" s="252">
        <v>172</v>
      </c>
      <c r="B167" s="116" t="s">
        <v>539</v>
      </c>
    </row>
    <row r="168" spans="1:2" ht="15">
      <c r="A168" s="252">
        <v>173</v>
      </c>
      <c r="B168" s="116" t="s">
        <v>722</v>
      </c>
    </row>
    <row r="169" spans="1:2" ht="15">
      <c r="A169" s="252">
        <v>174</v>
      </c>
      <c r="B169" s="116" t="s">
        <v>723</v>
      </c>
    </row>
    <row r="170" spans="1:2" ht="15">
      <c r="A170" s="252">
        <v>175</v>
      </c>
      <c r="B170" s="116" t="s">
        <v>724</v>
      </c>
    </row>
    <row r="171" spans="1:2" ht="15">
      <c r="A171" s="252">
        <v>176</v>
      </c>
      <c r="B171" s="116" t="s">
        <v>725</v>
      </c>
    </row>
    <row r="172" spans="1:2" ht="15">
      <c r="A172" s="252">
        <v>177</v>
      </c>
      <c r="B172" s="116" t="s">
        <v>726</v>
      </c>
    </row>
    <row r="173" spans="1:2" ht="15">
      <c r="A173" s="252">
        <v>178</v>
      </c>
      <c r="B173" s="116" t="s">
        <v>727</v>
      </c>
    </row>
    <row r="174" spans="1:2" ht="15">
      <c r="A174" s="252">
        <v>179</v>
      </c>
      <c r="B174" s="116" t="s">
        <v>728</v>
      </c>
    </row>
    <row r="175" spans="1:2" ht="15">
      <c r="A175" s="252">
        <v>180</v>
      </c>
      <c r="B175" s="116" t="s">
        <v>729</v>
      </c>
    </row>
    <row r="176" spans="1:2" ht="15">
      <c r="A176" s="252">
        <v>181</v>
      </c>
      <c r="B176" s="116" t="s">
        <v>730</v>
      </c>
    </row>
    <row r="177" spans="1:2" ht="15">
      <c r="A177" s="252">
        <v>182</v>
      </c>
      <c r="B177" s="116" t="s">
        <v>731</v>
      </c>
    </row>
    <row r="178" spans="1:2" ht="15">
      <c r="A178" s="252">
        <v>183</v>
      </c>
      <c r="B178" s="116" t="s">
        <v>732</v>
      </c>
    </row>
    <row r="179" spans="1:2" ht="15">
      <c r="A179" s="252">
        <v>184</v>
      </c>
      <c r="B179" s="116" t="s">
        <v>733</v>
      </c>
    </row>
    <row r="180" spans="1:2" ht="15">
      <c r="A180" s="252">
        <v>185</v>
      </c>
      <c r="B180" s="116" t="s">
        <v>734</v>
      </c>
    </row>
    <row r="181" spans="1:2" ht="15">
      <c r="A181" s="252">
        <v>186</v>
      </c>
      <c r="B181" s="116" t="s">
        <v>735</v>
      </c>
    </row>
    <row r="182" spans="1:2" ht="15">
      <c r="A182" s="252">
        <v>187</v>
      </c>
      <c r="B182" s="116" t="s">
        <v>736</v>
      </c>
    </row>
    <row r="183" spans="1:2" ht="15">
      <c r="A183" s="252">
        <v>188</v>
      </c>
      <c r="B183" s="116" t="s">
        <v>737</v>
      </c>
    </row>
    <row r="184" spans="1:2" ht="15">
      <c r="A184" s="252">
        <v>189</v>
      </c>
      <c r="B184" s="116" t="s">
        <v>738</v>
      </c>
    </row>
    <row r="185" spans="1:2" ht="15">
      <c r="A185" s="252">
        <v>190</v>
      </c>
      <c r="B185" s="116" t="s">
        <v>739</v>
      </c>
    </row>
    <row r="186" spans="1:2" ht="15">
      <c r="A186" s="252">
        <v>191</v>
      </c>
      <c r="B186" s="116" t="s">
        <v>740</v>
      </c>
    </row>
    <row r="187" spans="1:2" ht="15">
      <c r="A187" s="252">
        <v>192</v>
      </c>
      <c r="B187" s="116" t="s">
        <v>741</v>
      </c>
    </row>
    <row r="188" spans="1:2" ht="15">
      <c r="A188" s="252">
        <v>193</v>
      </c>
      <c r="B188" s="116" t="s">
        <v>742</v>
      </c>
    </row>
    <row r="189" spans="1:2" ht="15">
      <c r="A189" s="252">
        <v>194</v>
      </c>
      <c r="B189" s="116" t="s">
        <v>743</v>
      </c>
    </row>
    <row r="190" spans="1:2" ht="15">
      <c r="A190" s="252">
        <v>195</v>
      </c>
      <c r="B190" s="116" t="s">
        <v>744</v>
      </c>
    </row>
    <row r="191" spans="1:2" ht="15">
      <c r="A191" s="252">
        <v>196</v>
      </c>
      <c r="B191" s="116" t="s">
        <v>745</v>
      </c>
    </row>
    <row r="192" spans="1:2" ht="15">
      <c r="A192" s="252">
        <v>197</v>
      </c>
      <c r="B192" s="116" t="s">
        <v>746</v>
      </c>
    </row>
    <row r="193" spans="1:2" ht="15">
      <c r="A193" s="252">
        <v>198</v>
      </c>
      <c r="B193" s="116" t="s">
        <v>747</v>
      </c>
    </row>
    <row r="194" spans="1:2" ht="15">
      <c r="A194" s="252">
        <v>199</v>
      </c>
      <c r="B194" s="116" t="s">
        <v>748</v>
      </c>
    </row>
    <row r="195" spans="1:2" ht="15">
      <c r="A195" s="252">
        <v>200</v>
      </c>
      <c r="B195" s="116" t="s">
        <v>749</v>
      </c>
    </row>
    <row r="196" spans="1:2" ht="15">
      <c r="A196" s="252">
        <v>201</v>
      </c>
      <c r="B196" s="116" t="s">
        <v>750</v>
      </c>
    </row>
    <row r="197" spans="1:2" ht="15">
      <c r="A197" s="252">
        <v>202</v>
      </c>
      <c r="B197" s="116" t="s">
        <v>751</v>
      </c>
    </row>
    <row r="198" spans="1:2" ht="15">
      <c r="A198" s="252">
        <v>203</v>
      </c>
      <c r="B198" s="116" t="s">
        <v>752</v>
      </c>
    </row>
    <row r="199" spans="1:2" ht="15">
      <c r="A199" s="252">
        <v>204</v>
      </c>
      <c r="B199" s="116" t="s">
        <v>753</v>
      </c>
    </row>
    <row r="200" spans="1:2" ht="15">
      <c r="A200" s="252">
        <v>205</v>
      </c>
      <c r="B200" s="116" t="s">
        <v>754</v>
      </c>
    </row>
    <row r="201" spans="1:2" ht="15">
      <c r="A201" s="252">
        <v>206</v>
      </c>
      <c r="B201" s="116" t="s">
        <v>755</v>
      </c>
    </row>
    <row r="202" spans="1:2" ht="15">
      <c r="A202" s="252">
        <v>207</v>
      </c>
      <c r="B202" s="116" t="s">
        <v>756</v>
      </c>
    </row>
    <row r="203" spans="1:2" ht="15">
      <c r="A203" s="252">
        <v>208</v>
      </c>
      <c r="B203" s="116" t="s">
        <v>757</v>
      </c>
    </row>
    <row r="204" spans="1:2" ht="15">
      <c r="A204" s="252">
        <v>209</v>
      </c>
      <c r="B204" s="116" t="s">
        <v>758</v>
      </c>
    </row>
    <row r="205" spans="1:2" ht="15">
      <c r="A205" s="252">
        <v>210</v>
      </c>
      <c r="B205" s="116" t="s">
        <v>759</v>
      </c>
    </row>
    <row r="206" spans="1:2" ht="15">
      <c r="A206" s="252">
        <v>211</v>
      </c>
      <c r="B206" s="116" t="s">
        <v>760</v>
      </c>
    </row>
    <row r="207" spans="1:2" ht="15">
      <c r="A207" s="252">
        <v>212</v>
      </c>
      <c r="B207" s="116" t="s">
        <v>761</v>
      </c>
    </row>
    <row r="208" spans="1:2" ht="15">
      <c r="A208" s="252">
        <v>213</v>
      </c>
      <c r="B208" s="116" t="s">
        <v>762</v>
      </c>
    </row>
    <row r="209" spans="1:2" ht="15">
      <c r="A209" s="252">
        <v>214</v>
      </c>
      <c r="B209" s="116" t="s">
        <v>763</v>
      </c>
    </row>
    <row r="210" spans="1:2" ht="15">
      <c r="A210" s="252">
        <v>215</v>
      </c>
      <c r="B210" s="116" t="s">
        <v>764</v>
      </c>
    </row>
    <row r="211" spans="1:2" ht="15">
      <c r="A211" s="252">
        <v>216</v>
      </c>
      <c r="B211" s="116" t="s">
        <v>765</v>
      </c>
    </row>
    <row r="212" spans="1:2" ht="15">
      <c r="A212" s="252">
        <v>217</v>
      </c>
      <c r="B212" s="116" t="s">
        <v>766</v>
      </c>
    </row>
    <row r="213" spans="1:2" ht="15">
      <c r="A213" s="252">
        <v>218</v>
      </c>
      <c r="B213" s="116" t="s">
        <v>55</v>
      </c>
    </row>
    <row r="214" spans="1:2" ht="15">
      <c r="A214" s="252">
        <v>219</v>
      </c>
      <c r="B214" s="116" t="s">
        <v>56</v>
      </c>
    </row>
    <row r="215" spans="1:2" ht="15">
      <c r="A215" s="252">
        <v>220</v>
      </c>
      <c r="B215" s="116" t="s">
        <v>767</v>
      </c>
    </row>
    <row r="216" spans="1:2" ht="15">
      <c r="A216" s="252">
        <v>221</v>
      </c>
      <c r="B216" s="116" t="s">
        <v>768</v>
      </c>
    </row>
    <row r="217" spans="1:2" ht="15">
      <c r="A217" s="252">
        <v>222</v>
      </c>
      <c r="B217" s="116" t="s">
        <v>769</v>
      </c>
    </row>
    <row r="218" spans="1:2" ht="15">
      <c r="A218" s="252">
        <v>223</v>
      </c>
      <c r="B218" s="589" t="s">
        <v>770</v>
      </c>
    </row>
    <row r="219" spans="1:2" ht="15">
      <c r="A219" s="252">
        <v>224</v>
      </c>
      <c r="B219" s="589" t="s">
        <v>771</v>
      </c>
    </row>
    <row r="220" spans="1:2" ht="15">
      <c r="A220" s="252">
        <v>225</v>
      </c>
      <c r="B220" s="589" t="s">
        <v>772</v>
      </c>
    </row>
    <row r="221" spans="1:2" ht="15">
      <c r="A221" s="252">
        <v>226</v>
      </c>
      <c r="B221" s="589" t="s">
        <v>773</v>
      </c>
    </row>
    <row r="222" spans="1:2" ht="15">
      <c r="A222" s="252">
        <v>227</v>
      </c>
      <c r="B222" s="589" t="s">
        <v>774</v>
      </c>
    </row>
    <row r="223" spans="1:2" ht="15.75" thickBot="1">
      <c r="A223" s="252">
        <v>228</v>
      </c>
      <c r="B223" s="589" t="s">
        <v>775</v>
      </c>
    </row>
    <row r="224" spans="1:2" ht="16.5" thickBot="1" thickTop="1">
      <c r="A224" s="252">
        <v>229</v>
      </c>
      <c r="B224" s="142" t="s">
        <v>776</v>
      </c>
    </row>
    <row r="225" spans="1:2" ht="15.75" thickBot="1">
      <c r="A225" s="252">
        <v>230</v>
      </c>
      <c r="B225" s="145" t="s">
        <v>777</v>
      </c>
    </row>
    <row r="226" spans="1:2" ht="15.75" thickBot="1">
      <c r="A226" s="252">
        <v>231</v>
      </c>
      <c r="B226" s="145" t="s">
        <v>778</v>
      </c>
    </row>
    <row r="227" spans="1:2" ht="15.75" thickBot="1">
      <c r="A227" s="252">
        <v>232</v>
      </c>
      <c r="B227" s="145" t="s">
        <v>779</v>
      </c>
    </row>
    <row r="228" spans="1:2" ht="15.75" thickBot="1">
      <c r="A228" s="252">
        <v>233</v>
      </c>
      <c r="B228" s="145" t="s">
        <v>329</v>
      </c>
    </row>
    <row r="229" spans="1:2" ht="15.75" thickBot="1">
      <c r="A229" s="252">
        <v>234</v>
      </c>
      <c r="B229" s="145" t="s">
        <v>780</v>
      </c>
    </row>
    <row r="230" spans="1:2" ht="15.75" thickBot="1">
      <c r="A230" s="252">
        <v>235</v>
      </c>
      <c r="B230" s="145" t="s">
        <v>781</v>
      </c>
    </row>
    <row r="231" spans="1:2" ht="15.75" thickBot="1">
      <c r="A231" s="252">
        <v>236</v>
      </c>
      <c r="B231" s="145" t="s">
        <v>782</v>
      </c>
    </row>
    <row r="232" spans="1:2" ht="15.75" thickBot="1">
      <c r="A232" s="252">
        <v>237</v>
      </c>
      <c r="B232" s="145" t="s">
        <v>783</v>
      </c>
    </row>
    <row r="233" spans="1:2" ht="15.75" thickBot="1">
      <c r="A233" s="252">
        <v>238</v>
      </c>
      <c r="B233" s="145" t="s">
        <v>784</v>
      </c>
    </row>
    <row r="234" spans="1:2" ht="15.75" thickBot="1">
      <c r="A234" s="252">
        <v>239</v>
      </c>
      <c r="B234" s="145" t="s">
        <v>785</v>
      </c>
    </row>
    <row r="235" spans="1:2" ht="15.75" thickBot="1">
      <c r="A235" s="252">
        <v>240</v>
      </c>
      <c r="B235" s="145" t="s">
        <v>786</v>
      </c>
    </row>
    <row r="236" spans="1:2" ht="15.75" thickBot="1">
      <c r="A236" s="252">
        <v>241</v>
      </c>
      <c r="B236" s="145" t="s">
        <v>787</v>
      </c>
    </row>
    <row r="237" spans="1:2" ht="15.75" thickBot="1">
      <c r="A237" s="252">
        <v>242</v>
      </c>
      <c r="B237" s="145" t="s">
        <v>788</v>
      </c>
    </row>
    <row r="238" spans="1:2" ht="15.75" thickBot="1">
      <c r="A238" s="252">
        <v>243</v>
      </c>
      <c r="B238" s="145" t="s">
        <v>789</v>
      </c>
    </row>
    <row r="239" spans="1:2" ht="15.75" thickBot="1">
      <c r="A239" s="252">
        <v>244</v>
      </c>
      <c r="B239" s="145" t="s">
        <v>790</v>
      </c>
    </row>
    <row r="240" spans="1:2" ht="15.75" thickBot="1">
      <c r="A240" s="252">
        <v>245</v>
      </c>
      <c r="B240" s="145" t="s">
        <v>791</v>
      </c>
    </row>
    <row r="241" spans="1:2" ht="15.75" thickBot="1">
      <c r="A241" s="252">
        <v>246</v>
      </c>
      <c r="B241" s="145" t="s">
        <v>792</v>
      </c>
    </row>
    <row r="242" spans="1:2" ht="15.75" thickBot="1">
      <c r="A242" s="252">
        <v>247</v>
      </c>
      <c r="B242" s="145" t="s">
        <v>793</v>
      </c>
    </row>
    <row r="243" spans="1:2" ht="15.75" thickBot="1">
      <c r="A243" s="252">
        <v>248</v>
      </c>
      <c r="B243" s="145" t="s">
        <v>794</v>
      </c>
    </row>
    <row r="244" spans="1:2" ht="15.75" thickBot="1">
      <c r="A244" s="252">
        <v>249</v>
      </c>
      <c r="B244" s="145" t="s">
        <v>795</v>
      </c>
    </row>
    <row r="245" spans="1:2" ht="15.75" thickBot="1">
      <c r="A245" s="252">
        <v>250</v>
      </c>
      <c r="B245" s="145" t="s">
        <v>796</v>
      </c>
    </row>
    <row r="246" spans="1:2" ht="15.75" thickBot="1">
      <c r="A246" s="252">
        <v>251</v>
      </c>
      <c r="B246" s="145" t="s">
        <v>797</v>
      </c>
    </row>
    <row r="247" spans="1:2" ht="15.75" thickBot="1">
      <c r="A247" s="252">
        <v>252</v>
      </c>
      <c r="B247" s="145" t="s">
        <v>798</v>
      </c>
    </row>
    <row r="248" spans="1:2" ht="15.75" thickBot="1">
      <c r="A248" s="252">
        <v>253</v>
      </c>
      <c r="B248" s="145" t="s">
        <v>799</v>
      </c>
    </row>
    <row r="249" spans="1:2" ht="15.75" thickBot="1">
      <c r="A249" s="252">
        <v>254</v>
      </c>
      <c r="B249" s="145" t="s">
        <v>800</v>
      </c>
    </row>
    <row r="250" spans="1:2" ht="15.75" thickBot="1">
      <c r="A250" s="252">
        <v>255</v>
      </c>
      <c r="B250" s="148" t="s">
        <v>330</v>
      </c>
    </row>
    <row r="251" spans="1:2" ht="15.75" thickBot="1">
      <c r="A251" s="252">
        <v>256</v>
      </c>
      <c r="B251" s="145" t="s">
        <v>801</v>
      </c>
    </row>
    <row r="252" spans="1:2" ht="15.75" thickBot="1">
      <c r="A252" s="252">
        <v>257</v>
      </c>
      <c r="B252" s="145" t="s">
        <v>331</v>
      </c>
    </row>
    <row r="253" spans="1:2" ht="15.75" thickBot="1">
      <c r="A253" s="252">
        <v>258</v>
      </c>
      <c r="B253" s="145" t="s">
        <v>802</v>
      </c>
    </row>
    <row r="254" spans="1:2" ht="15.75" thickBot="1">
      <c r="A254" s="252">
        <v>259</v>
      </c>
      <c r="B254" s="145" t="s">
        <v>803</v>
      </c>
    </row>
    <row r="255" spans="1:2" ht="15.75" thickBot="1">
      <c r="A255" s="252">
        <v>260</v>
      </c>
      <c r="B255" s="145" t="s">
        <v>804</v>
      </c>
    </row>
    <row r="256" spans="1:2" ht="15.75" thickBot="1">
      <c r="A256" s="252">
        <v>261</v>
      </c>
      <c r="B256" s="145" t="s">
        <v>805</v>
      </c>
    </row>
    <row r="257" spans="1:2" ht="15.75" thickBot="1">
      <c r="A257" s="252">
        <v>262</v>
      </c>
      <c r="B257" s="145" t="s">
        <v>806</v>
      </c>
    </row>
    <row r="258" spans="1:2" ht="15.75" thickBot="1">
      <c r="A258" s="252">
        <v>263</v>
      </c>
      <c r="B258" s="145" t="s">
        <v>807</v>
      </c>
    </row>
    <row r="259" spans="1:2" ht="15.75" thickBot="1">
      <c r="A259" s="252">
        <v>264</v>
      </c>
      <c r="B259" s="145" t="s">
        <v>808</v>
      </c>
    </row>
    <row r="260" spans="1:2" ht="15.75" thickBot="1">
      <c r="A260" s="252">
        <v>265</v>
      </c>
      <c r="B260" s="145" t="s">
        <v>809</v>
      </c>
    </row>
    <row r="261" spans="1:2" ht="15.75" thickBot="1">
      <c r="A261" s="252">
        <v>266</v>
      </c>
      <c r="B261" s="145" t="s">
        <v>810</v>
      </c>
    </row>
    <row r="262" spans="1:2" ht="15.75" thickBot="1">
      <c r="A262" s="252">
        <v>267</v>
      </c>
      <c r="B262" s="145" t="s">
        <v>811</v>
      </c>
    </row>
    <row r="263" spans="1:2" ht="15.75" thickBot="1">
      <c r="A263" s="252">
        <v>268</v>
      </c>
      <c r="B263" s="148" t="s">
        <v>812</v>
      </c>
    </row>
    <row r="264" spans="1:2" ht="15.75" thickBot="1">
      <c r="A264" s="252">
        <v>269</v>
      </c>
      <c r="B264" s="145" t="s">
        <v>813</v>
      </c>
    </row>
    <row r="265" spans="1:2" ht="15.75" thickBot="1">
      <c r="A265" s="252">
        <v>270</v>
      </c>
      <c r="B265" s="145" t="s">
        <v>814</v>
      </c>
    </row>
    <row r="266" spans="1:2" ht="15.75" thickBot="1">
      <c r="A266" s="252">
        <v>271</v>
      </c>
      <c r="B266" s="145" t="s">
        <v>815</v>
      </c>
    </row>
    <row r="267" spans="1:2" ht="15.75" thickBot="1">
      <c r="A267" s="252">
        <v>272</v>
      </c>
      <c r="B267" s="145" t="s">
        <v>816</v>
      </c>
    </row>
    <row r="268" spans="1:2" ht="15.75" thickBot="1">
      <c r="A268" s="252">
        <v>273</v>
      </c>
      <c r="B268" s="145" t="s">
        <v>817</v>
      </c>
    </row>
    <row r="269" spans="1:2" ht="15.75" thickBot="1">
      <c r="A269" s="252">
        <v>274</v>
      </c>
      <c r="B269" s="145" t="s">
        <v>818</v>
      </c>
    </row>
    <row r="270" spans="1:2" ht="15.75" thickBot="1">
      <c r="A270" s="252">
        <v>275</v>
      </c>
      <c r="B270" s="145" t="s">
        <v>819</v>
      </c>
    </row>
    <row r="271" spans="1:2" ht="15.75" thickBot="1">
      <c r="A271" s="252">
        <v>276</v>
      </c>
      <c r="B271" s="145" t="s">
        <v>820</v>
      </c>
    </row>
    <row r="272" spans="1:2" ht="15.75" thickBot="1">
      <c r="A272" s="252">
        <v>277</v>
      </c>
      <c r="B272" s="145" t="s">
        <v>821</v>
      </c>
    </row>
    <row r="273" spans="1:2" ht="15.75" thickBot="1">
      <c r="A273" s="252">
        <v>278</v>
      </c>
      <c r="B273" s="149" t="s">
        <v>822</v>
      </c>
    </row>
    <row r="274" spans="1:2" ht="15.75" thickBot="1">
      <c r="A274" s="252">
        <v>279</v>
      </c>
      <c r="B274" s="145" t="s">
        <v>823</v>
      </c>
    </row>
    <row r="275" spans="1:2" ht="15.75" thickBot="1">
      <c r="A275" s="252">
        <v>280</v>
      </c>
      <c r="B275" s="150" t="s">
        <v>824</v>
      </c>
    </row>
    <row r="276" spans="1:2" ht="15.75" thickBot="1">
      <c r="A276" s="252">
        <v>281</v>
      </c>
      <c r="B276" s="590" t="s">
        <v>825</v>
      </c>
    </row>
    <row r="277" spans="1:2" ht="15.75" thickBot="1">
      <c r="A277" s="252">
        <v>282</v>
      </c>
      <c r="B277" s="254" t="s">
        <v>826</v>
      </c>
    </row>
    <row r="278" spans="1:2" ht="15.75" thickBot="1">
      <c r="A278" s="252">
        <v>283</v>
      </c>
      <c r="B278" s="254" t="s">
        <v>827</v>
      </c>
    </row>
    <row r="279" spans="1:2" ht="15">
      <c r="A279" s="252">
        <v>284</v>
      </c>
      <c r="B279" s="255" t="s">
        <v>828</v>
      </c>
    </row>
    <row r="280" spans="1:2" ht="15">
      <c r="A280" s="252">
        <v>285</v>
      </c>
      <c r="B280" s="256" t="s">
        <v>829</v>
      </c>
    </row>
    <row r="281" spans="1:2" ht="18.75" thickBot="1">
      <c r="A281" s="252">
        <v>287</v>
      </c>
      <c r="B281" s="591" t="s">
        <v>830</v>
      </c>
    </row>
    <row r="282" spans="1:2" ht="15">
      <c r="A282" s="252">
        <v>288</v>
      </c>
      <c r="B282" s="592" t="s">
        <v>831</v>
      </c>
    </row>
    <row r="283" spans="1:2" ht="15.75" thickBot="1">
      <c r="A283" s="252">
        <v>289</v>
      </c>
      <c r="B283" s="593" t="s">
        <v>832</v>
      </c>
    </row>
    <row r="284" spans="1:2" ht="15.75" thickBot="1">
      <c r="A284" s="252">
        <v>290</v>
      </c>
      <c r="B284" s="594" t="s">
        <v>833</v>
      </c>
    </row>
    <row r="285" spans="1:2" ht="15">
      <c r="A285" s="252">
        <v>291</v>
      </c>
      <c r="B285" s="592" t="s">
        <v>834</v>
      </c>
    </row>
    <row r="286" spans="1:2" ht="15.75" thickBot="1">
      <c r="A286" s="252">
        <v>292</v>
      </c>
      <c r="B286" s="593" t="s">
        <v>835</v>
      </c>
    </row>
    <row r="287" spans="1:2" ht="25.5">
      <c r="A287" s="252">
        <v>293</v>
      </c>
      <c r="B287" s="257" t="s">
        <v>836</v>
      </c>
    </row>
    <row r="288" spans="1:2" ht="15">
      <c r="A288" s="252">
        <v>294</v>
      </c>
      <c r="B288" s="258" t="s">
        <v>837</v>
      </c>
    </row>
    <row r="289" spans="1:2" ht="26.25" thickBot="1">
      <c r="A289" s="252">
        <v>295</v>
      </c>
      <c r="B289" s="258" t="s">
        <v>838</v>
      </c>
    </row>
    <row r="290" spans="1:2" ht="15.75" thickBot="1">
      <c r="A290" s="252">
        <v>296</v>
      </c>
      <c r="B290" s="254" t="s">
        <v>839</v>
      </c>
    </row>
    <row r="291" spans="1:2" ht="15.75" thickBot="1">
      <c r="A291" s="252">
        <v>297</v>
      </c>
      <c r="B291" s="254" t="s">
        <v>840</v>
      </c>
    </row>
    <row r="292" spans="1:2" ht="18">
      <c r="A292" s="252">
        <v>298</v>
      </c>
      <c r="B292" s="259" t="s">
        <v>841</v>
      </c>
    </row>
    <row r="293" spans="1:2" ht="15.75">
      <c r="A293" s="252">
        <v>299</v>
      </c>
      <c r="B293" s="249" t="s">
        <v>842</v>
      </c>
    </row>
    <row r="294" spans="1:2" ht="15">
      <c r="A294" s="252">
        <v>301</v>
      </c>
      <c r="B294" s="586" t="s">
        <v>79</v>
      </c>
    </row>
    <row r="295" spans="1:2" ht="15.75">
      <c r="A295" s="252">
        <v>308</v>
      </c>
      <c r="B295" s="249" t="s">
        <v>843</v>
      </c>
    </row>
    <row r="296" spans="1:2" ht="102">
      <c r="A296" s="252">
        <v>309</v>
      </c>
      <c r="B296" s="239" t="s">
        <v>844</v>
      </c>
    </row>
    <row r="297" spans="1:2" ht="76.5">
      <c r="A297" s="252">
        <v>311</v>
      </c>
      <c r="B297" s="239" t="s">
        <v>845</v>
      </c>
    </row>
    <row r="298" spans="1:2" ht="76.5">
      <c r="A298" s="252">
        <v>312</v>
      </c>
      <c r="B298" s="239" t="s">
        <v>846</v>
      </c>
    </row>
    <row r="299" spans="1:2" ht="63.75">
      <c r="A299" s="252">
        <v>313</v>
      </c>
      <c r="B299" s="239" t="s">
        <v>847</v>
      </c>
    </row>
    <row r="300" spans="1:2" ht="15">
      <c r="A300" s="252">
        <v>314</v>
      </c>
      <c r="B300" s="239" t="s">
        <v>848</v>
      </c>
    </row>
    <row r="301" spans="1:2" ht="25.5">
      <c r="A301" s="384">
        <v>315</v>
      </c>
      <c r="B301" s="239" t="s">
        <v>849</v>
      </c>
    </row>
    <row r="302" spans="1:2" ht="25.5">
      <c r="A302" s="252">
        <v>316</v>
      </c>
      <c r="B302" s="242" t="s">
        <v>850</v>
      </c>
    </row>
    <row r="303" spans="1:2" ht="25.5">
      <c r="A303" s="252">
        <v>317</v>
      </c>
      <c r="B303" s="242" t="s">
        <v>851</v>
      </c>
    </row>
    <row r="304" spans="1:2" ht="15">
      <c r="A304" s="252">
        <v>320</v>
      </c>
      <c r="B304" s="185" t="s">
        <v>852</v>
      </c>
    </row>
    <row r="305" spans="1:2" ht="25.5">
      <c r="A305" s="252">
        <v>321</v>
      </c>
      <c r="B305" s="237" t="s">
        <v>853</v>
      </c>
    </row>
    <row r="306" spans="1:2" ht="15">
      <c r="A306" s="252">
        <v>322</v>
      </c>
      <c r="B306" s="260" t="s">
        <v>854</v>
      </c>
    </row>
    <row r="307" spans="1:2" ht="15">
      <c r="A307" s="252">
        <v>323</v>
      </c>
      <c r="B307" s="247" t="s">
        <v>855</v>
      </c>
    </row>
    <row r="308" spans="1:2" ht="15">
      <c r="A308" s="252">
        <v>324</v>
      </c>
      <c r="B308" s="261" t="s">
        <v>856</v>
      </c>
    </row>
    <row r="309" spans="1:2" ht="15">
      <c r="A309" s="252">
        <v>325</v>
      </c>
      <c r="B309" s="262" t="s">
        <v>857</v>
      </c>
    </row>
    <row r="310" spans="1:2" ht="15">
      <c r="A310" s="252">
        <v>326</v>
      </c>
      <c r="B310" s="261" t="s">
        <v>858</v>
      </c>
    </row>
    <row r="311" spans="1:2" ht="25.5">
      <c r="A311" s="252">
        <v>327</v>
      </c>
      <c r="B311" s="261" t="s">
        <v>859</v>
      </c>
    </row>
    <row r="312" spans="1:2" ht="15">
      <c r="A312" s="252">
        <v>328</v>
      </c>
      <c r="B312" s="263" t="s">
        <v>860</v>
      </c>
    </row>
    <row r="313" spans="1:2" ht="25.5">
      <c r="A313" s="252">
        <v>329</v>
      </c>
      <c r="B313" s="263" t="s">
        <v>861</v>
      </c>
    </row>
    <row r="314" spans="1:2" ht="25.5">
      <c r="A314" s="252">
        <v>330</v>
      </c>
      <c r="B314" s="261" t="s">
        <v>862</v>
      </c>
    </row>
    <row r="315" spans="1:2" ht="25.5">
      <c r="A315" s="384">
        <v>331</v>
      </c>
      <c r="B315" s="261" t="s">
        <v>863</v>
      </c>
    </row>
    <row r="316" spans="1:2" ht="15">
      <c r="A316" s="252">
        <v>332</v>
      </c>
      <c r="B316" s="261" t="s">
        <v>864</v>
      </c>
    </row>
    <row r="317" spans="1:2" ht="76.5">
      <c r="A317" s="252">
        <v>333</v>
      </c>
      <c r="B317" s="239" t="s">
        <v>865</v>
      </c>
    </row>
    <row r="318" spans="1:2" ht="89.25">
      <c r="A318" s="252">
        <v>334</v>
      </c>
      <c r="B318" s="239" t="s">
        <v>866</v>
      </c>
    </row>
    <row r="319" spans="1:2" ht="63.75">
      <c r="A319" s="252">
        <v>335</v>
      </c>
      <c r="B319" s="240" t="s">
        <v>867</v>
      </c>
    </row>
    <row r="320" spans="1:2" ht="90" thickBot="1">
      <c r="A320" s="252">
        <v>336</v>
      </c>
      <c r="B320" s="239" t="s">
        <v>868</v>
      </c>
    </row>
    <row r="321" spans="1:2" ht="128.25" thickBot="1">
      <c r="A321" s="252">
        <v>337</v>
      </c>
      <c r="B321" s="236" t="s">
        <v>869</v>
      </c>
    </row>
    <row r="322" spans="1:2" ht="15.75">
      <c r="A322" s="252">
        <v>338</v>
      </c>
      <c r="B322" s="249" t="s">
        <v>870</v>
      </c>
    </row>
    <row r="323" spans="1:2" ht="25.5">
      <c r="A323" s="252">
        <v>339</v>
      </c>
      <c r="B323" s="238" t="s">
        <v>871</v>
      </c>
    </row>
    <row r="324" spans="1:2" ht="15">
      <c r="A324" s="252">
        <v>340</v>
      </c>
      <c r="B324" s="674" t="s">
        <v>2098</v>
      </c>
    </row>
    <row r="325" spans="1:2" ht="15.75">
      <c r="A325" s="252">
        <v>341</v>
      </c>
      <c r="B325" s="241" t="s">
        <v>872</v>
      </c>
    </row>
    <row r="326" spans="1:2" ht="15">
      <c r="A326" s="252">
        <v>342</v>
      </c>
      <c r="B326" s="247" t="s">
        <v>873</v>
      </c>
    </row>
    <row r="327" spans="1:2" ht="15">
      <c r="A327" s="252">
        <v>343</v>
      </c>
      <c r="B327" s="238" t="s">
        <v>874</v>
      </c>
    </row>
    <row r="328" spans="1:2" ht="15">
      <c r="A328" s="252">
        <v>344</v>
      </c>
      <c r="B328" s="248" t="s">
        <v>461</v>
      </c>
    </row>
    <row r="329" spans="1:2" ht="15">
      <c r="A329" s="252">
        <v>345</v>
      </c>
      <c r="B329" s="238" t="s">
        <v>875</v>
      </c>
    </row>
    <row r="330" spans="1:2" ht="15">
      <c r="A330" s="252">
        <v>346</v>
      </c>
      <c r="B330" s="248" t="s">
        <v>80</v>
      </c>
    </row>
    <row r="331" spans="1:2" ht="15">
      <c r="A331" s="252">
        <v>347</v>
      </c>
      <c r="B331" s="247" t="s">
        <v>876</v>
      </c>
    </row>
    <row r="332" spans="1:2" ht="15">
      <c r="A332" s="252">
        <v>348</v>
      </c>
      <c r="B332" s="675" t="s">
        <v>2099</v>
      </c>
    </row>
    <row r="333" spans="1:2" ht="15">
      <c r="A333" s="252">
        <v>349</v>
      </c>
      <c r="B333" s="238" t="s">
        <v>877</v>
      </c>
    </row>
    <row r="334" spans="1:2" ht="15">
      <c r="A334" s="252">
        <v>350</v>
      </c>
      <c r="B334" s="675" t="s">
        <v>2100</v>
      </c>
    </row>
    <row r="335" spans="1:2" ht="15.75">
      <c r="A335" s="252">
        <v>351</v>
      </c>
      <c r="B335" s="241" t="s">
        <v>878</v>
      </c>
    </row>
    <row r="336" spans="1:2" ht="15.75" thickBot="1">
      <c r="A336" s="252">
        <v>352</v>
      </c>
      <c r="B336" s="595" t="s">
        <v>879</v>
      </c>
    </row>
    <row r="337" spans="1:2" ht="26.25" thickBot="1">
      <c r="A337" s="252">
        <v>353</v>
      </c>
      <c r="B337" s="264" t="s">
        <v>880</v>
      </c>
    </row>
    <row r="338" spans="1:2" ht="15.75" thickBot="1">
      <c r="A338" s="252">
        <v>354</v>
      </c>
      <c r="B338" s="265" t="s">
        <v>881</v>
      </c>
    </row>
    <row r="339" spans="1:2" ht="15.75" thickBot="1">
      <c r="A339" s="252">
        <v>355</v>
      </c>
      <c r="B339" s="266" t="s">
        <v>882</v>
      </c>
    </row>
    <row r="340" spans="1:2" ht="15.75" thickBot="1">
      <c r="A340" s="252">
        <v>356</v>
      </c>
      <c r="B340" s="266" t="s">
        <v>883</v>
      </c>
    </row>
    <row r="341" spans="1:2" ht="15">
      <c r="A341" s="252">
        <v>357</v>
      </c>
      <c r="B341" s="266" t="s">
        <v>884</v>
      </c>
    </row>
    <row r="342" spans="1:2" ht="15">
      <c r="A342" s="252">
        <v>358</v>
      </c>
      <c r="B342" s="267" t="s">
        <v>885</v>
      </c>
    </row>
    <row r="343" spans="1:2" ht="15">
      <c r="A343" s="252">
        <v>361</v>
      </c>
      <c r="B343" s="268" t="s">
        <v>886</v>
      </c>
    </row>
    <row r="344" spans="1:2" ht="15.75">
      <c r="A344" s="252">
        <v>363</v>
      </c>
      <c r="B344" s="249" t="s">
        <v>887</v>
      </c>
    </row>
    <row r="345" spans="1:2" ht="15">
      <c r="A345" s="252">
        <v>364</v>
      </c>
      <c r="B345" s="269" t="s">
        <v>888</v>
      </c>
    </row>
    <row r="346" spans="1:2" ht="15">
      <c r="A346" s="252">
        <v>365</v>
      </c>
      <c r="B346" s="247" t="s">
        <v>889</v>
      </c>
    </row>
    <row r="347" spans="1:2" ht="22.5">
      <c r="A347" s="384">
        <v>366</v>
      </c>
      <c r="B347" s="243" t="s">
        <v>890</v>
      </c>
    </row>
    <row r="348" spans="1:2" ht="15">
      <c r="A348" s="252">
        <v>367</v>
      </c>
      <c r="B348" s="247" t="s">
        <v>891</v>
      </c>
    </row>
    <row r="349" spans="1:2" ht="15">
      <c r="A349" s="252">
        <v>369</v>
      </c>
      <c r="B349" s="247" t="s">
        <v>892</v>
      </c>
    </row>
    <row r="350" spans="1:2" ht="15">
      <c r="A350" s="252">
        <v>370</v>
      </c>
      <c r="B350" s="247" t="s">
        <v>893</v>
      </c>
    </row>
    <row r="351" spans="1:2" ht="22.5">
      <c r="A351" s="252">
        <v>373</v>
      </c>
      <c r="B351" s="243" t="s">
        <v>894</v>
      </c>
    </row>
    <row r="352" spans="1:2" ht="15">
      <c r="A352" s="384">
        <v>374</v>
      </c>
      <c r="B352" s="247" t="s">
        <v>895</v>
      </c>
    </row>
    <row r="353" spans="1:2" ht="33.75">
      <c r="A353" s="384">
        <v>375</v>
      </c>
      <c r="B353" s="243" t="s">
        <v>2104</v>
      </c>
    </row>
    <row r="354" spans="1:2" ht="15">
      <c r="A354" s="252">
        <v>377</v>
      </c>
      <c r="B354" s="247" t="s">
        <v>897</v>
      </c>
    </row>
    <row r="355" spans="1:2" ht="15">
      <c r="A355" s="252">
        <v>378</v>
      </c>
      <c r="B355" s="257" t="s">
        <v>898</v>
      </c>
    </row>
    <row r="356" spans="1:2" ht="33.75">
      <c r="A356" s="252">
        <v>379</v>
      </c>
      <c r="B356" s="243" t="s">
        <v>899</v>
      </c>
    </row>
    <row r="357" spans="1:2" ht="22.5">
      <c r="A357" s="252">
        <v>380</v>
      </c>
      <c r="B357" s="243" t="s">
        <v>900</v>
      </c>
    </row>
    <row r="358" spans="1:2" ht="15">
      <c r="A358" s="252">
        <v>381</v>
      </c>
      <c r="B358" s="270" t="s">
        <v>901</v>
      </c>
    </row>
    <row r="359" spans="1:2" ht="25.5">
      <c r="A359" s="252">
        <v>382</v>
      </c>
      <c r="B359" s="250" t="s">
        <v>902</v>
      </c>
    </row>
    <row r="360" spans="1:2" ht="15">
      <c r="A360" s="252">
        <v>383</v>
      </c>
      <c r="B360" s="271" t="s">
        <v>903</v>
      </c>
    </row>
    <row r="361" spans="1:2" ht="15">
      <c r="A361" s="252">
        <v>384</v>
      </c>
      <c r="B361" s="272" t="s">
        <v>904</v>
      </c>
    </row>
    <row r="362" spans="1:2" ht="15">
      <c r="A362" s="252">
        <v>385</v>
      </c>
      <c r="B362" s="250" t="s">
        <v>905</v>
      </c>
    </row>
    <row r="363" spans="1:2" ht="15">
      <c r="A363" s="252">
        <v>398</v>
      </c>
      <c r="B363" s="247" t="s">
        <v>906</v>
      </c>
    </row>
    <row r="364" spans="1:2" ht="33.75">
      <c r="A364" s="252">
        <v>399</v>
      </c>
      <c r="B364" s="243" t="s">
        <v>907</v>
      </c>
    </row>
    <row r="365" spans="1:2" ht="15">
      <c r="A365" s="252">
        <v>400</v>
      </c>
      <c r="B365" s="271" t="s">
        <v>908</v>
      </c>
    </row>
    <row r="366" spans="1:2" ht="15">
      <c r="A366" s="252">
        <v>401</v>
      </c>
      <c r="B366" s="273" t="s">
        <v>909</v>
      </c>
    </row>
    <row r="367" spans="1:2" ht="15">
      <c r="A367" s="252">
        <v>402</v>
      </c>
      <c r="B367" s="273" t="s">
        <v>910</v>
      </c>
    </row>
    <row r="368" spans="1:2" ht="15">
      <c r="A368" s="252">
        <v>403</v>
      </c>
      <c r="B368" s="273" t="s">
        <v>911</v>
      </c>
    </row>
    <row r="369" spans="1:2" ht="15">
      <c r="A369" s="252">
        <v>404</v>
      </c>
      <c r="B369" s="273" t="s">
        <v>912</v>
      </c>
    </row>
    <row r="370" spans="1:2" ht="15">
      <c r="A370" s="252">
        <v>405</v>
      </c>
      <c r="B370" s="273" t="s">
        <v>913</v>
      </c>
    </row>
    <row r="371" spans="1:2" ht="15">
      <c r="A371" s="252">
        <v>406</v>
      </c>
      <c r="B371" s="273" t="s">
        <v>914</v>
      </c>
    </row>
    <row r="372" spans="1:2" ht="15">
      <c r="A372" s="252">
        <v>407</v>
      </c>
      <c r="B372" s="273" t="s">
        <v>915</v>
      </c>
    </row>
    <row r="373" spans="1:2" ht="15">
      <c r="A373" s="252">
        <v>408</v>
      </c>
      <c r="B373" s="272" t="s">
        <v>60</v>
      </c>
    </row>
    <row r="374" spans="1:2" ht="15">
      <c r="A374" s="252">
        <v>409</v>
      </c>
      <c r="B374" s="247" t="s">
        <v>916</v>
      </c>
    </row>
    <row r="375" spans="1:2" ht="15">
      <c r="A375" s="252">
        <v>410</v>
      </c>
      <c r="B375" s="269" t="s">
        <v>917</v>
      </c>
    </row>
    <row r="376" spans="1:2" ht="22.5">
      <c r="A376" s="252">
        <v>411</v>
      </c>
      <c r="B376" s="243" t="s">
        <v>918</v>
      </c>
    </row>
    <row r="377" spans="1:2" ht="25.5">
      <c r="A377" s="252">
        <v>412</v>
      </c>
      <c r="B377" s="247" t="s">
        <v>919</v>
      </c>
    </row>
    <row r="378" spans="1:2" ht="15">
      <c r="A378" s="252">
        <v>413</v>
      </c>
      <c r="B378" s="271" t="s">
        <v>920</v>
      </c>
    </row>
    <row r="379" spans="1:2" ht="15">
      <c r="A379" s="252">
        <v>414</v>
      </c>
      <c r="B379" s="247" t="s">
        <v>921</v>
      </c>
    </row>
    <row r="380" spans="1:2" ht="15">
      <c r="A380" s="252">
        <v>417</v>
      </c>
      <c r="B380" s="275" t="s">
        <v>922</v>
      </c>
    </row>
    <row r="381" spans="1:2" ht="15">
      <c r="A381" s="252">
        <v>418</v>
      </c>
      <c r="B381" s="276" t="s">
        <v>910</v>
      </c>
    </row>
    <row r="382" spans="1:2" ht="15">
      <c r="A382" s="252">
        <v>419</v>
      </c>
      <c r="B382" s="277" t="s">
        <v>923</v>
      </c>
    </row>
    <row r="383" spans="1:2" ht="22.5">
      <c r="A383" s="252">
        <v>420</v>
      </c>
      <c r="B383" s="243" t="s">
        <v>924</v>
      </c>
    </row>
    <row r="384" spans="1:2" ht="15">
      <c r="A384" s="252">
        <v>421</v>
      </c>
      <c r="B384" s="276" t="s">
        <v>914</v>
      </c>
    </row>
    <row r="385" spans="1:2" ht="15">
      <c r="A385" s="252">
        <v>422</v>
      </c>
      <c r="B385" s="276" t="s">
        <v>925</v>
      </c>
    </row>
    <row r="386" spans="1:2" ht="25.5">
      <c r="A386" s="252">
        <v>423</v>
      </c>
      <c r="B386" s="277" t="s">
        <v>926</v>
      </c>
    </row>
    <row r="387" spans="1:2" ht="33.75">
      <c r="A387" s="252">
        <v>424</v>
      </c>
      <c r="B387" s="243" t="s">
        <v>927</v>
      </c>
    </row>
    <row r="388" spans="1:2" ht="33.75">
      <c r="A388" s="252">
        <v>425</v>
      </c>
      <c r="B388" s="243" t="s">
        <v>928</v>
      </c>
    </row>
    <row r="389" spans="1:2" ht="15">
      <c r="A389" s="252">
        <v>426</v>
      </c>
      <c r="B389" s="275" t="s">
        <v>929</v>
      </c>
    </row>
    <row r="390" spans="1:2" ht="15">
      <c r="A390" s="252">
        <v>427</v>
      </c>
      <c r="B390" s="278" t="s">
        <v>930</v>
      </c>
    </row>
    <row r="391" spans="1:2" ht="15">
      <c r="A391" s="252">
        <v>428</v>
      </c>
      <c r="B391" s="269" t="s">
        <v>931</v>
      </c>
    </row>
    <row r="392" spans="1:2" ht="15">
      <c r="A392" s="252">
        <v>429</v>
      </c>
      <c r="B392" s="247" t="s">
        <v>932</v>
      </c>
    </row>
    <row r="393" spans="1:2" ht="22.5">
      <c r="A393" s="252">
        <v>431</v>
      </c>
      <c r="B393" s="243" t="s">
        <v>933</v>
      </c>
    </row>
    <row r="394" spans="1:2" ht="15">
      <c r="A394" s="252">
        <v>432</v>
      </c>
      <c r="B394" s="109" t="s">
        <v>934</v>
      </c>
    </row>
    <row r="395" spans="1:2" ht="15">
      <c r="A395" s="252">
        <v>433</v>
      </c>
      <c r="B395" s="22" t="s">
        <v>935</v>
      </c>
    </row>
    <row r="396" spans="1:2" ht="25.5">
      <c r="A396" s="252">
        <v>434</v>
      </c>
      <c r="B396" s="247" t="s">
        <v>936</v>
      </c>
    </row>
    <row r="397" spans="1:2" ht="22.5">
      <c r="A397" s="252">
        <v>435</v>
      </c>
      <c r="B397" s="243" t="s">
        <v>937</v>
      </c>
    </row>
    <row r="398" spans="1:2" ht="15">
      <c r="A398" s="252">
        <v>436</v>
      </c>
      <c r="B398" s="243" t="s">
        <v>938</v>
      </c>
    </row>
    <row r="399" spans="1:2" ht="22.5">
      <c r="A399" s="252">
        <v>437</v>
      </c>
      <c r="B399" s="246" t="s">
        <v>304</v>
      </c>
    </row>
    <row r="400" spans="1:2" ht="15">
      <c r="A400" s="252">
        <v>438</v>
      </c>
      <c r="B400" s="243" t="s">
        <v>939</v>
      </c>
    </row>
    <row r="401" spans="1:2" ht="22.5">
      <c r="A401" s="252">
        <v>439</v>
      </c>
      <c r="B401" s="246" t="s">
        <v>227</v>
      </c>
    </row>
    <row r="402" spans="1:2" ht="21">
      <c r="A402" s="252">
        <v>440</v>
      </c>
      <c r="B402" s="244" t="s">
        <v>940</v>
      </c>
    </row>
    <row r="403" spans="1:2" ht="15">
      <c r="A403" s="252">
        <v>441</v>
      </c>
      <c r="B403" s="243" t="s">
        <v>941</v>
      </c>
    </row>
    <row r="404" spans="1:2" ht="15">
      <c r="A404" s="252">
        <v>442</v>
      </c>
      <c r="B404" s="270" t="s">
        <v>942</v>
      </c>
    </row>
    <row r="405" spans="1:2" ht="15">
      <c r="A405" s="252">
        <v>443</v>
      </c>
      <c r="B405" s="270" t="s">
        <v>943</v>
      </c>
    </row>
    <row r="406" spans="1:2" ht="15">
      <c r="A406" s="252">
        <v>444</v>
      </c>
      <c r="B406" s="247" t="s">
        <v>944</v>
      </c>
    </row>
    <row r="407" spans="1:2" ht="15">
      <c r="A407" s="252">
        <v>445</v>
      </c>
      <c r="B407" s="243" t="s">
        <v>945</v>
      </c>
    </row>
    <row r="408" spans="1:2" ht="22.5">
      <c r="A408" s="252">
        <v>446</v>
      </c>
      <c r="B408" s="243" t="s">
        <v>946</v>
      </c>
    </row>
    <row r="409" spans="1:2" ht="15">
      <c r="A409" s="252">
        <v>452</v>
      </c>
      <c r="B409" s="269" t="s">
        <v>947</v>
      </c>
    </row>
    <row r="410" spans="1:2" ht="25.5">
      <c r="A410" s="252">
        <v>453</v>
      </c>
      <c r="B410" s="247" t="s">
        <v>948</v>
      </c>
    </row>
    <row r="411" spans="1:2" ht="45">
      <c r="A411" s="252">
        <v>454</v>
      </c>
      <c r="B411" s="243" t="s">
        <v>949</v>
      </c>
    </row>
    <row r="412" spans="1:2" ht="22.5">
      <c r="A412" s="252">
        <v>455</v>
      </c>
      <c r="B412" s="243" t="s">
        <v>950</v>
      </c>
    </row>
    <row r="413" spans="1:2" ht="25.5">
      <c r="A413" s="252">
        <v>456</v>
      </c>
      <c r="B413" s="247" t="s">
        <v>951</v>
      </c>
    </row>
    <row r="414" spans="1:2" ht="25.5">
      <c r="A414" s="252">
        <v>457</v>
      </c>
      <c r="B414" s="247" t="s">
        <v>952</v>
      </c>
    </row>
    <row r="415" spans="1:2" ht="15">
      <c r="A415" s="252">
        <v>458</v>
      </c>
      <c r="B415" s="243" t="s">
        <v>953</v>
      </c>
    </row>
    <row r="416" spans="1:2" ht="15">
      <c r="A416" s="252">
        <v>460</v>
      </c>
      <c r="B416" s="247" t="s">
        <v>954</v>
      </c>
    </row>
    <row r="417" spans="1:2" ht="25.5">
      <c r="A417" s="252">
        <v>465</v>
      </c>
      <c r="B417" s="245" t="s">
        <v>955</v>
      </c>
    </row>
    <row r="418" spans="1:2" ht="15">
      <c r="A418" s="252">
        <v>467</v>
      </c>
      <c r="B418" s="257" t="s">
        <v>956</v>
      </c>
    </row>
    <row r="419" spans="1:2" ht="76.5">
      <c r="A419" s="252">
        <v>468</v>
      </c>
      <c r="B419" s="245" t="s">
        <v>957</v>
      </c>
    </row>
    <row r="420" spans="1:2" ht="15">
      <c r="A420" s="252">
        <v>469</v>
      </c>
      <c r="B420" s="279" t="s">
        <v>958</v>
      </c>
    </row>
    <row r="421" spans="1:2" ht="15">
      <c r="A421" s="252">
        <v>470</v>
      </c>
      <c r="B421" s="257" t="s">
        <v>959</v>
      </c>
    </row>
    <row r="422" spans="1:2" ht="15">
      <c r="A422" s="252">
        <v>484</v>
      </c>
      <c r="B422" s="247" t="s">
        <v>960</v>
      </c>
    </row>
    <row r="423" spans="1:2" ht="22.5">
      <c r="A423" s="252">
        <v>485</v>
      </c>
      <c r="B423" s="243" t="s">
        <v>961</v>
      </c>
    </row>
    <row r="424" spans="1:2" ht="15">
      <c r="A424" s="252">
        <v>486</v>
      </c>
      <c r="B424" s="243" t="s">
        <v>962</v>
      </c>
    </row>
    <row r="425" spans="1:2" ht="33.75">
      <c r="A425" s="252">
        <v>487</v>
      </c>
      <c r="B425" s="243" t="s">
        <v>963</v>
      </c>
    </row>
    <row r="426" spans="1:2" ht="33.75">
      <c r="A426" s="252">
        <v>488</v>
      </c>
      <c r="B426" s="243" t="s">
        <v>964</v>
      </c>
    </row>
    <row r="427" spans="1:2" ht="22.5">
      <c r="A427" s="252">
        <v>489</v>
      </c>
      <c r="B427" s="243" t="s">
        <v>965</v>
      </c>
    </row>
    <row r="428" spans="1:2" ht="15">
      <c r="A428" s="252">
        <v>490</v>
      </c>
      <c r="B428" s="247" t="s">
        <v>966</v>
      </c>
    </row>
    <row r="429" spans="1:2" ht="15">
      <c r="A429" s="252">
        <v>497</v>
      </c>
      <c r="B429" s="244" t="s">
        <v>967</v>
      </c>
    </row>
    <row r="430" spans="1:2" ht="22.5">
      <c r="A430" s="252">
        <v>509</v>
      </c>
      <c r="B430" s="243" t="s">
        <v>968</v>
      </c>
    </row>
    <row r="431" spans="1:2" ht="22.5">
      <c r="A431" s="252">
        <v>511</v>
      </c>
      <c r="B431" s="243" t="s">
        <v>969</v>
      </c>
    </row>
    <row r="432" spans="1:2" ht="15">
      <c r="A432" s="252">
        <v>514</v>
      </c>
      <c r="B432" s="280" t="s">
        <v>970</v>
      </c>
    </row>
    <row r="433" spans="1:2" ht="15">
      <c r="A433" s="252">
        <v>516</v>
      </c>
      <c r="B433" s="281" t="s">
        <v>971</v>
      </c>
    </row>
    <row r="434" spans="1:2" ht="33.75">
      <c r="A434" s="252">
        <v>520</v>
      </c>
      <c r="B434" s="243" t="s">
        <v>972</v>
      </c>
    </row>
    <row r="435" spans="1:2" ht="30">
      <c r="A435" s="252">
        <v>526</v>
      </c>
      <c r="B435" s="269" t="s">
        <v>973</v>
      </c>
    </row>
    <row r="436" spans="1:2" ht="22.5">
      <c r="A436" s="252">
        <v>530</v>
      </c>
      <c r="B436" s="243" t="s">
        <v>974</v>
      </c>
    </row>
    <row r="437" spans="1:2" ht="78.75">
      <c r="A437" s="252">
        <v>531</v>
      </c>
      <c r="B437" s="243" t="s">
        <v>975</v>
      </c>
    </row>
    <row r="438" spans="1:2" ht="15">
      <c r="A438" s="252">
        <v>534</v>
      </c>
      <c r="B438" s="247" t="s">
        <v>976</v>
      </c>
    </row>
    <row r="439" spans="1:2" ht="22.5">
      <c r="A439" s="252">
        <v>535</v>
      </c>
      <c r="B439" s="243" t="s">
        <v>977</v>
      </c>
    </row>
    <row r="440" spans="1:2" ht="15">
      <c r="A440" s="252">
        <v>537</v>
      </c>
      <c r="B440" s="282" t="s">
        <v>978</v>
      </c>
    </row>
    <row r="441" spans="1:2" ht="15">
      <c r="A441" s="252">
        <v>539</v>
      </c>
      <c r="B441" s="247" t="s">
        <v>979</v>
      </c>
    </row>
    <row r="442" spans="1:2" ht="15.75">
      <c r="A442" s="252">
        <v>551</v>
      </c>
      <c r="B442" s="249" t="s">
        <v>980</v>
      </c>
    </row>
    <row r="443" spans="1:2" ht="25.5">
      <c r="A443" s="252">
        <v>552</v>
      </c>
      <c r="B443" s="247" t="s">
        <v>981</v>
      </c>
    </row>
    <row r="444" spans="1:2" ht="22.5">
      <c r="A444" s="252">
        <v>553</v>
      </c>
      <c r="B444" s="243" t="s">
        <v>982</v>
      </c>
    </row>
    <row r="445" spans="1:2" ht="22.5">
      <c r="A445" s="252">
        <v>554</v>
      </c>
      <c r="B445" s="243" t="s">
        <v>2105</v>
      </c>
    </row>
    <row r="446" spans="1:2" ht="33.75">
      <c r="A446" s="252">
        <v>555</v>
      </c>
      <c r="B446" s="243" t="s">
        <v>2106</v>
      </c>
    </row>
    <row r="447" spans="1:2" ht="22.5">
      <c r="A447" s="252">
        <v>556</v>
      </c>
      <c r="B447" s="243" t="s">
        <v>983</v>
      </c>
    </row>
    <row r="448" spans="1:2" ht="15">
      <c r="A448" s="252">
        <v>557</v>
      </c>
      <c r="B448" s="243" t="s">
        <v>984</v>
      </c>
    </row>
    <row r="449" spans="1:2" ht="15">
      <c r="A449" s="252">
        <v>558</v>
      </c>
      <c r="B449" s="244" t="s">
        <v>985</v>
      </c>
    </row>
    <row r="450" spans="1:2" ht="22.5">
      <c r="A450" s="252">
        <v>559</v>
      </c>
      <c r="B450" s="243" t="s">
        <v>986</v>
      </c>
    </row>
    <row r="451" spans="1:2" ht="33.75">
      <c r="A451" s="252">
        <v>560</v>
      </c>
      <c r="B451" s="243" t="s">
        <v>987</v>
      </c>
    </row>
    <row r="452" spans="1:2" ht="15">
      <c r="A452" s="252">
        <v>561</v>
      </c>
      <c r="B452" s="243" t="s">
        <v>988</v>
      </c>
    </row>
    <row r="453" spans="1:2" ht="15">
      <c r="A453" s="252">
        <v>562</v>
      </c>
      <c r="B453" s="243" t="s">
        <v>989</v>
      </c>
    </row>
    <row r="454" spans="1:2" ht="22.5">
      <c r="A454" s="252">
        <v>563</v>
      </c>
      <c r="B454" s="243" t="s">
        <v>990</v>
      </c>
    </row>
    <row r="455" spans="1:2" ht="15">
      <c r="A455" s="252">
        <v>564</v>
      </c>
      <c r="B455" s="243" t="s">
        <v>991</v>
      </c>
    </row>
    <row r="456" spans="1:2" ht="15">
      <c r="A456" s="252">
        <v>565</v>
      </c>
      <c r="B456" s="243" t="s">
        <v>992</v>
      </c>
    </row>
    <row r="457" spans="1:2" ht="15">
      <c r="A457" s="252">
        <v>566</v>
      </c>
      <c r="B457" s="281" t="s">
        <v>993</v>
      </c>
    </row>
    <row r="458" spans="1:2" ht="15">
      <c r="A458" s="252">
        <v>567</v>
      </c>
      <c r="B458" s="281" t="s">
        <v>994</v>
      </c>
    </row>
    <row r="459" spans="1:2" ht="15">
      <c r="A459" s="252">
        <v>568</v>
      </c>
      <c r="B459" s="281" t="s">
        <v>995</v>
      </c>
    </row>
    <row r="460" spans="1:2" ht="15">
      <c r="A460" s="252">
        <v>569</v>
      </c>
      <c r="B460" s="281" t="s">
        <v>996</v>
      </c>
    </row>
    <row r="461" spans="1:2" ht="15">
      <c r="A461" s="252">
        <v>570</v>
      </c>
      <c r="B461" s="247" t="s">
        <v>997</v>
      </c>
    </row>
    <row r="462" spans="1:2" ht="22.5">
      <c r="A462" s="252">
        <v>572</v>
      </c>
      <c r="B462" s="243" t="s">
        <v>998</v>
      </c>
    </row>
    <row r="463" spans="1:2" ht="33.75">
      <c r="A463" s="252">
        <v>573</v>
      </c>
      <c r="B463" s="243" t="s">
        <v>999</v>
      </c>
    </row>
    <row r="464" spans="1:2" ht="15">
      <c r="A464" s="252">
        <v>574</v>
      </c>
      <c r="B464" s="281" t="s">
        <v>1000</v>
      </c>
    </row>
    <row r="465" spans="1:2" ht="15">
      <c r="A465" s="252">
        <v>575</v>
      </c>
      <c r="B465" s="281" t="s">
        <v>1001</v>
      </c>
    </row>
    <row r="466" spans="1:2" ht="15">
      <c r="A466" s="252">
        <v>576</v>
      </c>
      <c r="B466" s="283" t="s">
        <v>1002</v>
      </c>
    </row>
    <row r="467" spans="1:2" ht="15">
      <c r="A467" s="252">
        <v>577</v>
      </c>
      <c r="B467" s="281" t="s">
        <v>1003</v>
      </c>
    </row>
    <row r="468" spans="1:2" ht="15.75" thickBot="1">
      <c r="A468" s="252">
        <v>635</v>
      </c>
      <c r="B468" s="285" t="s">
        <v>1004</v>
      </c>
    </row>
    <row r="469" spans="1:2" ht="15.75" thickBot="1">
      <c r="A469" s="252">
        <v>656</v>
      </c>
      <c r="B469" s="266" t="s">
        <v>83</v>
      </c>
    </row>
    <row r="470" spans="1:2" ht="26.25" thickBot="1">
      <c r="A470" s="252">
        <v>722</v>
      </c>
      <c r="B470" s="264" t="s">
        <v>1005</v>
      </c>
    </row>
    <row r="471" spans="1:2" ht="15.75" thickBot="1">
      <c r="A471" s="252">
        <v>723</v>
      </c>
      <c r="B471" s="265" t="s">
        <v>1006</v>
      </c>
    </row>
    <row r="472" spans="1:2" ht="15">
      <c r="A472" s="252">
        <v>724</v>
      </c>
      <c r="B472" s="266" t="s">
        <v>1007</v>
      </c>
    </row>
    <row r="473" spans="1:2" ht="15">
      <c r="A473" s="252">
        <v>726</v>
      </c>
      <c r="B473" s="267" t="s">
        <v>1008</v>
      </c>
    </row>
    <row r="474" spans="1:2" ht="15">
      <c r="A474" s="252">
        <v>727</v>
      </c>
      <c r="B474" s="268" t="s">
        <v>1009</v>
      </c>
    </row>
    <row r="475" spans="1:2" ht="18">
      <c r="A475" s="252">
        <v>728</v>
      </c>
      <c r="B475" s="259" t="s">
        <v>1010</v>
      </c>
    </row>
    <row r="476" spans="1:2" ht="31.5">
      <c r="A476" s="252">
        <v>729</v>
      </c>
      <c r="B476" s="249" t="s">
        <v>1011</v>
      </c>
    </row>
    <row r="477" spans="1:2" ht="15">
      <c r="A477" s="252">
        <v>734</v>
      </c>
      <c r="B477" s="250" t="s">
        <v>1012</v>
      </c>
    </row>
    <row r="478" spans="1:2" ht="15">
      <c r="A478" s="252">
        <v>735</v>
      </c>
      <c r="B478" s="275" t="s">
        <v>1013</v>
      </c>
    </row>
    <row r="479" spans="1:2" ht="15">
      <c r="A479" s="252">
        <v>736</v>
      </c>
      <c r="B479" s="276" t="s">
        <v>1014</v>
      </c>
    </row>
    <row r="480" spans="1:2" ht="15">
      <c r="A480" s="252">
        <v>737</v>
      </c>
      <c r="B480" s="278" t="s">
        <v>1015</v>
      </c>
    </row>
    <row r="481" spans="1:2" ht="15">
      <c r="A481" s="252">
        <v>738</v>
      </c>
      <c r="B481" s="286" t="s">
        <v>1016</v>
      </c>
    </row>
    <row r="482" spans="1:2" ht="15">
      <c r="A482" s="252">
        <v>739</v>
      </c>
      <c r="B482" s="286" t="s">
        <v>1017</v>
      </c>
    </row>
    <row r="483" spans="1:2" ht="30">
      <c r="A483" s="252">
        <v>742</v>
      </c>
      <c r="B483" s="269" t="s">
        <v>1018</v>
      </c>
    </row>
    <row r="484" spans="1:2" ht="15.75">
      <c r="A484" s="252">
        <v>746</v>
      </c>
      <c r="B484" s="249" t="s">
        <v>1019</v>
      </c>
    </row>
    <row r="485" spans="1:2" ht="15">
      <c r="A485" s="252">
        <v>749</v>
      </c>
      <c r="B485" s="269" t="s">
        <v>1020</v>
      </c>
    </row>
    <row r="486" spans="1:2" ht="21">
      <c r="A486" s="252">
        <v>750</v>
      </c>
      <c r="B486" s="244" t="s">
        <v>1021</v>
      </c>
    </row>
    <row r="487" spans="1:2" ht="15">
      <c r="A487" s="252">
        <v>751</v>
      </c>
      <c r="B487" s="247" t="s">
        <v>1022</v>
      </c>
    </row>
    <row r="488" spans="1:2" ht="22.5">
      <c r="A488" s="252">
        <v>752</v>
      </c>
      <c r="B488" s="243" t="s">
        <v>1023</v>
      </c>
    </row>
    <row r="489" spans="1:2" ht="22.5">
      <c r="A489" s="252">
        <v>753</v>
      </c>
      <c r="B489" s="243" t="s">
        <v>1024</v>
      </c>
    </row>
    <row r="490" spans="1:2" ht="15">
      <c r="A490" s="252">
        <v>754</v>
      </c>
      <c r="B490" s="247" t="s">
        <v>1025</v>
      </c>
    </row>
    <row r="491" spans="1:2" ht="15">
      <c r="A491" s="252">
        <v>755</v>
      </c>
      <c r="B491" s="243" t="s">
        <v>1026</v>
      </c>
    </row>
    <row r="492" spans="1:2" ht="15">
      <c r="A492" s="252">
        <v>757</v>
      </c>
      <c r="B492" s="244" t="s">
        <v>1027</v>
      </c>
    </row>
    <row r="493" spans="1:2" ht="22.5">
      <c r="A493" s="252">
        <v>758</v>
      </c>
      <c r="B493" s="243" t="s">
        <v>1028</v>
      </c>
    </row>
    <row r="494" spans="1:2" ht="33.75">
      <c r="A494" s="252">
        <v>759</v>
      </c>
      <c r="B494" s="243" t="s">
        <v>1029</v>
      </c>
    </row>
    <row r="495" spans="1:2" ht="31.5">
      <c r="A495" s="252">
        <v>762</v>
      </c>
      <c r="B495" s="244" t="s">
        <v>1030</v>
      </c>
    </row>
    <row r="496" spans="1:2" ht="15">
      <c r="A496" s="252">
        <v>763</v>
      </c>
      <c r="B496" s="275" t="s">
        <v>1031</v>
      </c>
    </row>
    <row r="497" spans="1:2" ht="15">
      <c r="A497" s="252">
        <v>764</v>
      </c>
      <c r="B497" s="276" t="s">
        <v>1032</v>
      </c>
    </row>
    <row r="498" spans="1:2" ht="26.25" thickBot="1">
      <c r="A498" s="252">
        <v>765</v>
      </c>
      <c r="B498" s="596" t="s">
        <v>1033</v>
      </c>
    </row>
    <row r="499" spans="1:2" ht="15">
      <c r="A499" s="252">
        <v>766</v>
      </c>
      <c r="B499" s="288" t="s">
        <v>1034</v>
      </c>
    </row>
    <row r="500" spans="1:2" ht="15">
      <c r="A500" s="252">
        <v>767</v>
      </c>
      <c r="B500" s="597" t="s">
        <v>1035</v>
      </c>
    </row>
    <row r="501" spans="1:2" ht="15.75">
      <c r="A501" s="252">
        <v>777</v>
      </c>
      <c r="B501" s="249" t="s">
        <v>594</v>
      </c>
    </row>
    <row r="502" spans="1:2" ht="33.75">
      <c r="A502" s="252">
        <v>778</v>
      </c>
      <c r="B502" s="243" t="s">
        <v>1036</v>
      </c>
    </row>
    <row r="503" spans="1:2" ht="33.75">
      <c r="A503" s="252">
        <v>779</v>
      </c>
      <c r="B503" s="243" t="s">
        <v>1037</v>
      </c>
    </row>
    <row r="504" spans="1:2" ht="22.5">
      <c r="A504" s="252">
        <v>780</v>
      </c>
      <c r="B504" s="243" t="s">
        <v>1038</v>
      </c>
    </row>
    <row r="505" spans="1:2" ht="22.5">
      <c r="A505" s="252">
        <v>781</v>
      </c>
      <c r="B505" s="243" t="s">
        <v>1039</v>
      </c>
    </row>
    <row r="506" spans="1:2" ht="33.75">
      <c r="A506" s="252">
        <v>782</v>
      </c>
      <c r="B506" s="243" t="s">
        <v>1040</v>
      </c>
    </row>
    <row r="507" spans="1:2" ht="22.5">
      <c r="A507" s="252">
        <v>783</v>
      </c>
      <c r="B507" s="243" t="s">
        <v>1041</v>
      </c>
    </row>
    <row r="508" spans="1:2" ht="15">
      <c r="A508" s="252">
        <v>784</v>
      </c>
      <c r="B508" s="243" t="s">
        <v>1042</v>
      </c>
    </row>
    <row r="509" spans="1:2" ht="33.75">
      <c r="A509" s="252">
        <v>785</v>
      </c>
      <c r="B509" s="243" t="s">
        <v>1043</v>
      </c>
    </row>
    <row r="510" spans="1:2" ht="15">
      <c r="A510" s="252">
        <v>786</v>
      </c>
      <c r="B510" s="243" t="s">
        <v>1044</v>
      </c>
    </row>
    <row r="511" spans="1:2" ht="45">
      <c r="A511" s="252">
        <v>787</v>
      </c>
      <c r="B511" s="269" t="s">
        <v>1045</v>
      </c>
    </row>
    <row r="512" spans="1:2" ht="25.5">
      <c r="A512" s="252">
        <v>788</v>
      </c>
      <c r="B512" s="247" t="s">
        <v>1046</v>
      </c>
    </row>
    <row r="513" spans="1:2" ht="22.5">
      <c r="A513" s="252">
        <v>789</v>
      </c>
      <c r="B513" s="243" t="s">
        <v>1047</v>
      </c>
    </row>
    <row r="514" spans="1:2" ht="33.75">
      <c r="A514" s="252">
        <v>790</v>
      </c>
      <c r="B514" s="243" t="s">
        <v>1048</v>
      </c>
    </row>
    <row r="515" spans="1:2" ht="22.5">
      <c r="A515" s="252">
        <v>791</v>
      </c>
      <c r="B515" s="243" t="s">
        <v>1049</v>
      </c>
    </row>
    <row r="516" spans="1:2" ht="15">
      <c r="A516" s="252">
        <v>792</v>
      </c>
      <c r="B516" s="247" t="s">
        <v>1050</v>
      </c>
    </row>
    <row r="517" spans="1:2" ht="15">
      <c r="A517" s="252">
        <v>793</v>
      </c>
      <c r="B517" s="247" t="s">
        <v>1051</v>
      </c>
    </row>
    <row r="518" spans="1:2" ht="22.5">
      <c r="A518" s="252">
        <v>794</v>
      </c>
      <c r="B518" s="243" t="s">
        <v>1052</v>
      </c>
    </row>
    <row r="519" spans="1:2" ht="22.5">
      <c r="A519" s="252">
        <v>795</v>
      </c>
      <c r="B519" s="262" t="s">
        <v>1053</v>
      </c>
    </row>
    <row r="520" spans="1:2" ht="25.5">
      <c r="A520" s="252">
        <v>796</v>
      </c>
      <c r="B520" s="247" t="s">
        <v>1054</v>
      </c>
    </row>
    <row r="521" spans="1:2" ht="22.5">
      <c r="A521" s="252">
        <v>797</v>
      </c>
      <c r="B521" s="243" t="s">
        <v>1055</v>
      </c>
    </row>
    <row r="522" spans="1:2" ht="15">
      <c r="A522" s="252">
        <v>798</v>
      </c>
      <c r="B522" s="287" t="s">
        <v>1056</v>
      </c>
    </row>
    <row r="523" spans="1:2" ht="15">
      <c r="A523" s="252">
        <v>799</v>
      </c>
      <c r="B523" s="247" t="s">
        <v>1057</v>
      </c>
    </row>
    <row r="524" spans="1:2" ht="22.5">
      <c r="A524" s="252">
        <v>800</v>
      </c>
      <c r="B524" s="243" t="s">
        <v>1058</v>
      </c>
    </row>
    <row r="525" spans="1:2" ht="22.5">
      <c r="A525" s="252">
        <v>801</v>
      </c>
      <c r="B525" s="243" t="s">
        <v>1059</v>
      </c>
    </row>
    <row r="526" spans="1:2" ht="15">
      <c r="A526" s="252">
        <v>802</v>
      </c>
      <c r="B526" s="250" t="s">
        <v>1060</v>
      </c>
    </row>
    <row r="527" spans="1:2" ht="15">
      <c r="A527" s="252">
        <v>803</v>
      </c>
      <c r="B527" s="287" t="s">
        <v>1061</v>
      </c>
    </row>
    <row r="528" spans="1:2" ht="25.5">
      <c r="A528" s="252">
        <v>804</v>
      </c>
      <c r="B528" s="247" t="s">
        <v>1062</v>
      </c>
    </row>
    <row r="529" spans="1:2" ht="33.75">
      <c r="A529" s="252">
        <v>805</v>
      </c>
      <c r="B529" s="243" t="s">
        <v>1063</v>
      </c>
    </row>
    <row r="530" spans="1:2" ht="33.75">
      <c r="A530" s="252">
        <v>806</v>
      </c>
      <c r="B530" s="243" t="s">
        <v>1064</v>
      </c>
    </row>
    <row r="531" spans="1:2" ht="15">
      <c r="A531" s="252">
        <v>807</v>
      </c>
      <c r="B531" s="282" t="s">
        <v>1065</v>
      </c>
    </row>
    <row r="532" spans="1:2" ht="15">
      <c r="A532" s="252">
        <v>808</v>
      </c>
      <c r="B532" s="247" t="s">
        <v>1066</v>
      </c>
    </row>
    <row r="533" spans="1:2" ht="22.5">
      <c r="A533" s="252">
        <v>809</v>
      </c>
      <c r="B533" s="243" t="s">
        <v>1067</v>
      </c>
    </row>
    <row r="534" spans="1:2" ht="15">
      <c r="A534" s="252">
        <v>810</v>
      </c>
      <c r="B534" s="287" t="s">
        <v>1068</v>
      </c>
    </row>
    <row r="535" spans="1:2" ht="15">
      <c r="A535" s="252">
        <v>811</v>
      </c>
      <c r="B535" s="247" t="s">
        <v>1069</v>
      </c>
    </row>
    <row r="536" spans="1:2" ht="15">
      <c r="A536" s="252">
        <v>812</v>
      </c>
      <c r="B536" s="305" t="s">
        <v>1070</v>
      </c>
    </row>
    <row r="537" spans="1:2" ht="15">
      <c r="A537" s="252">
        <v>813</v>
      </c>
      <c r="B537" s="598" t="s">
        <v>1071</v>
      </c>
    </row>
    <row r="538" spans="1:2" ht="15">
      <c r="A538" s="252">
        <v>814</v>
      </c>
      <c r="B538" s="598" t="s">
        <v>1072</v>
      </c>
    </row>
    <row r="539" spans="1:2" ht="15">
      <c r="A539" s="252">
        <v>815</v>
      </c>
      <c r="B539" s="599" t="s">
        <v>1073</v>
      </c>
    </row>
    <row r="540" spans="1:2" ht="25.5">
      <c r="A540" s="252">
        <v>816</v>
      </c>
      <c r="B540" s="247" t="s">
        <v>1074</v>
      </c>
    </row>
    <row r="541" spans="1:2" ht="22.5">
      <c r="A541" s="252">
        <v>817</v>
      </c>
      <c r="B541" s="243" t="s">
        <v>1075</v>
      </c>
    </row>
    <row r="542" spans="1:2" ht="15">
      <c r="A542" s="252">
        <v>818</v>
      </c>
      <c r="B542" s="282" t="s">
        <v>1076</v>
      </c>
    </row>
    <row r="543" spans="1:2" ht="25.5">
      <c r="A543" s="252">
        <v>819</v>
      </c>
      <c r="B543" s="247" t="s">
        <v>1077</v>
      </c>
    </row>
    <row r="544" spans="1:2" ht="22.5">
      <c r="A544" s="252">
        <v>820</v>
      </c>
      <c r="B544" s="243" t="s">
        <v>1078</v>
      </c>
    </row>
    <row r="545" spans="1:2" ht="22.5">
      <c r="A545" s="252">
        <v>821</v>
      </c>
      <c r="B545" s="243" t="s">
        <v>1079</v>
      </c>
    </row>
    <row r="546" spans="1:2" ht="15">
      <c r="A546" s="252">
        <v>822</v>
      </c>
      <c r="B546" s="243" t="s">
        <v>1080</v>
      </c>
    </row>
    <row r="547" spans="1:2" ht="15.75" thickBot="1">
      <c r="A547" s="252">
        <v>823</v>
      </c>
      <c r="B547" s="287" t="s">
        <v>1081</v>
      </c>
    </row>
    <row r="548" spans="1:2" ht="26.25" thickBot="1">
      <c r="A548" s="252">
        <v>824</v>
      </c>
      <c r="B548" s="264" t="s">
        <v>1082</v>
      </c>
    </row>
    <row r="549" spans="1:2" ht="15">
      <c r="A549" s="252">
        <v>825</v>
      </c>
      <c r="B549" s="265" t="s">
        <v>1083</v>
      </c>
    </row>
    <row r="550" spans="1:2" ht="15">
      <c r="A550" s="252">
        <v>829</v>
      </c>
      <c r="B550" s="267" t="s">
        <v>1084</v>
      </c>
    </row>
    <row r="551" spans="1:2" ht="15">
      <c r="A551" s="252">
        <v>831</v>
      </c>
      <c r="B551" s="268" t="s">
        <v>1085</v>
      </c>
    </row>
    <row r="552" spans="1:2" ht="54">
      <c r="A552" s="252">
        <v>832</v>
      </c>
      <c r="B552" s="259" t="s">
        <v>1086</v>
      </c>
    </row>
    <row r="553" spans="1:2" ht="15.75">
      <c r="A553" s="252">
        <v>833</v>
      </c>
      <c r="B553" s="249" t="s">
        <v>1087</v>
      </c>
    </row>
    <row r="554" spans="1:2" ht="15">
      <c r="A554" s="252">
        <v>834</v>
      </c>
      <c r="B554" s="269" t="s">
        <v>1088</v>
      </c>
    </row>
    <row r="555" spans="1:2" ht="25.5">
      <c r="A555" s="252">
        <v>835</v>
      </c>
      <c r="B555" s="247" t="s">
        <v>1089</v>
      </c>
    </row>
    <row r="556" spans="1:2" ht="22.5">
      <c r="A556" s="252">
        <v>836</v>
      </c>
      <c r="B556" s="243" t="s">
        <v>1090</v>
      </c>
    </row>
    <row r="557" spans="1:2" ht="15">
      <c r="A557" s="252">
        <v>837</v>
      </c>
      <c r="B557" s="289" t="s">
        <v>1091</v>
      </c>
    </row>
    <row r="558" spans="1:2" ht="22.5">
      <c r="A558" s="252">
        <v>838</v>
      </c>
      <c r="B558" s="243" t="s">
        <v>1092</v>
      </c>
    </row>
    <row r="559" spans="1:2" ht="22.5">
      <c r="A559" s="252">
        <v>839</v>
      </c>
      <c r="B559" s="243" t="s">
        <v>1093</v>
      </c>
    </row>
    <row r="560" spans="1:2" ht="33.75">
      <c r="A560" s="252">
        <v>840</v>
      </c>
      <c r="B560" s="243" t="s">
        <v>1094</v>
      </c>
    </row>
    <row r="561" spans="1:2" ht="22.5">
      <c r="A561" s="252">
        <v>841</v>
      </c>
      <c r="B561" s="243" t="s">
        <v>1095</v>
      </c>
    </row>
    <row r="562" spans="1:2" ht="15">
      <c r="A562" s="252">
        <v>842</v>
      </c>
      <c r="B562" s="290" t="s">
        <v>1096</v>
      </c>
    </row>
    <row r="563" spans="1:2" ht="15">
      <c r="A563" s="252">
        <v>843</v>
      </c>
      <c r="B563" s="298" t="s">
        <v>1097</v>
      </c>
    </row>
    <row r="564" spans="1:2" ht="15">
      <c r="A564" s="252">
        <v>844</v>
      </c>
      <c r="B564" s="600" t="s">
        <v>1098</v>
      </c>
    </row>
    <row r="565" spans="1:2" ht="15.75" thickBot="1">
      <c r="A565" s="252">
        <v>845</v>
      </c>
      <c r="B565" s="601" t="s">
        <v>1099</v>
      </c>
    </row>
    <row r="566" spans="1:2" ht="15">
      <c r="A566" s="252">
        <v>846</v>
      </c>
      <c r="B566" s="602" t="s">
        <v>1100</v>
      </c>
    </row>
    <row r="567" spans="1:2" ht="31.5">
      <c r="A567" s="252">
        <v>862</v>
      </c>
      <c r="B567" s="293" t="s">
        <v>1101</v>
      </c>
    </row>
    <row r="568" spans="1:2" ht="15">
      <c r="A568" s="252">
        <v>866</v>
      </c>
      <c r="B568" s="247" t="s">
        <v>1102</v>
      </c>
    </row>
    <row r="569" spans="1:2" ht="38.25">
      <c r="A569" s="252">
        <v>868</v>
      </c>
      <c r="B569" s="247" t="s">
        <v>1103</v>
      </c>
    </row>
    <row r="570" spans="1:2" ht="21.75" thickBot="1">
      <c r="A570" s="252">
        <v>871</v>
      </c>
      <c r="B570" s="293" t="s">
        <v>1104</v>
      </c>
    </row>
    <row r="571" spans="1:2" ht="15">
      <c r="A571" s="252">
        <v>872</v>
      </c>
      <c r="B571" s="294" t="s">
        <v>1105</v>
      </c>
    </row>
    <row r="572" spans="1:2" ht="15">
      <c r="A572" s="252">
        <v>876</v>
      </c>
      <c r="B572" s="293" t="s">
        <v>1106</v>
      </c>
    </row>
    <row r="573" spans="1:2" ht="67.5">
      <c r="A573" s="252">
        <v>877</v>
      </c>
      <c r="B573" s="284" t="s">
        <v>1107</v>
      </c>
    </row>
    <row r="574" spans="1:2" ht="15">
      <c r="A574" s="252">
        <v>878</v>
      </c>
      <c r="B574" s="292" t="s">
        <v>1108</v>
      </c>
    </row>
    <row r="575" spans="1:2" ht="45">
      <c r="A575" s="252">
        <v>879</v>
      </c>
      <c r="B575" s="243" t="s">
        <v>1109</v>
      </c>
    </row>
    <row r="576" spans="1:2" ht="15">
      <c r="A576" s="252">
        <v>880</v>
      </c>
      <c r="B576" s="597" t="s">
        <v>1110</v>
      </c>
    </row>
    <row r="577" spans="1:2" ht="15">
      <c r="A577" s="252">
        <v>881</v>
      </c>
      <c r="B577" s="293" t="s">
        <v>1111</v>
      </c>
    </row>
    <row r="578" spans="1:2" ht="15">
      <c r="A578" s="252">
        <v>882</v>
      </c>
      <c r="B578" s="292" t="s">
        <v>1112</v>
      </c>
    </row>
    <row r="579" spans="1:2" ht="33.75">
      <c r="A579" s="252">
        <v>883</v>
      </c>
      <c r="B579" s="243" t="s">
        <v>1113</v>
      </c>
    </row>
    <row r="580" spans="1:2" ht="45">
      <c r="A580" s="252">
        <v>884</v>
      </c>
      <c r="B580" s="243" t="s">
        <v>1114</v>
      </c>
    </row>
    <row r="581" spans="1:2" ht="67.5">
      <c r="A581" s="252">
        <v>885</v>
      </c>
      <c r="B581" s="243" t="s">
        <v>1115</v>
      </c>
    </row>
    <row r="582" spans="1:2" ht="45">
      <c r="A582" s="252">
        <v>886</v>
      </c>
      <c r="B582" s="243" t="s">
        <v>1116</v>
      </c>
    </row>
    <row r="583" spans="1:2" ht="22.5">
      <c r="A583" s="252">
        <v>887</v>
      </c>
      <c r="B583" s="243" t="s">
        <v>1117</v>
      </c>
    </row>
    <row r="584" spans="1:2" ht="15">
      <c r="A584" s="252">
        <v>888</v>
      </c>
      <c r="B584" s="597" t="s">
        <v>1118</v>
      </c>
    </row>
    <row r="585" spans="1:2" ht="15">
      <c r="A585" s="252">
        <v>889</v>
      </c>
      <c r="B585" s="291" t="s">
        <v>1119</v>
      </c>
    </row>
    <row r="586" spans="1:2" ht="15">
      <c r="A586" s="252">
        <v>890</v>
      </c>
      <c r="B586" s="289" t="s">
        <v>1120</v>
      </c>
    </row>
    <row r="587" spans="1:2" ht="22.5">
      <c r="A587" s="252">
        <v>891</v>
      </c>
      <c r="B587" s="292" t="s">
        <v>1121</v>
      </c>
    </row>
    <row r="588" spans="1:2" ht="15">
      <c r="A588" s="252">
        <v>892</v>
      </c>
      <c r="B588" s="296" t="s">
        <v>1122</v>
      </c>
    </row>
    <row r="589" spans="1:2" ht="15">
      <c r="A589" s="252">
        <v>893</v>
      </c>
      <c r="B589" s="289" t="s">
        <v>1123</v>
      </c>
    </row>
    <row r="590" spans="1:2" ht="22.5">
      <c r="A590" s="252">
        <v>894</v>
      </c>
      <c r="B590" s="292" t="s">
        <v>1124</v>
      </c>
    </row>
    <row r="591" spans="1:2" ht="15">
      <c r="A591" s="252">
        <v>895</v>
      </c>
      <c r="B591" s="290" t="s">
        <v>1125</v>
      </c>
    </row>
    <row r="592" spans="1:2" ht="15">
      <c r="A592" s="252">
        <v>896</v>
      </c>
      <c r="B592" s="296" t="s">
        <v>1126</v>
      </c>
    </row>
    <row r="593" spans="1:2" ht="25.5">
      <c r="A593" s="252">
        <v>897</v>
      </c>
      <c r="B593" s="289" t="s">
        <v>1127</v>
      </c>
    </row>
    <row r="594" spans="1:2" ht="22.5">
      <c r="A594" s="252">
        <v>898</v>
      </c>
      <c r="B594" s="292" t="s">
        <v>1128</v>
      </c>
    </row>
    <row r="595" spans="1:2" ht="33.75">
      <c r="A595" s="252">
        <v>899</v>
      </c>
      <c r="B595" s="292" t="s">
        <v>1129</v>
      </c>
    </row>
    <row r="596" spans="1:2" ht="15">
      <c r="A596" s="252">
        <v>900</v>
      </c>
      <c r="B596" s="290" t="s">
        <v>1130</v>
      </c>
    </row>
    <row r="597" spans="1:2" ht="15">
      <c r="A597" s="252">
        <v>901</v>
      </c>
      <c r="B597" s="296" t="s">
        <v>1131</v>
      </c>
    </row>
    <row r="598" spans="1:2" ht="15">
      <c r="A598" s="252">
        <v>902</v>
      </c>
      <c r="B598" s="289" t="s">
        <v>1132</v>
      </c>
    </row>
    <row r="599" spans="1:2" ht="22.5">
      <c r="A599" s="252">
        <v>903</v>
      </c>
      <c r="B599" s="292" t="s">
        <v>1133</v>
      </c>
    </row>
    <row r="600" spans="1:2" ht="22.5">
      <c r="A600" s="252">
        <v>904</v>
      </c>
      <c r="B600" s="292" t="s">
        <v>1134</v>
      </c>
    </row>
    <row r="601" spans="1:2" ht="15">
      <c r="A601" s="252">
        <v>905</v>
      </c>
      <c r="B601" s="296" t="s">
        <v>1135</v>
      </c>
    </row>
    <row r="602" spans="1:2" ht="30">
      <c r="A602" s="252">
        <v>906</v>
      </c>
      <c r="B602" s="291" t="s">
        <v>1136</v>
      </c>
    </row>
    <row r="603" spans="1:2" ht="33.75">
      <c r="A603" s="252">
        <v>907</v>
      </c>
      <c r="B603" s="292" t="s">
        <v>1137</v>
      </c>
    </row>
    <row r="604" spans="1:2" ht="22.5">
      <c r="A604" s="252">
        <v>908</v>
      </c>
      <c r="B604" s="292" t="s">
        <v>1138</v>
      </c>
    </row>
    <row r="605" spans="1:2" ht="22.5">
      <c r="A605" s="252">
        <v>909</v>
      </c>
      <c r="B605" s="292" t="s">
        <v>1139</v>
      </c>
    </row>
    <row r="606" spans="1:2" ht="25.5">
      <c r="A606" s="252">
        <v>910</v>
      </c>
      <c r="B606" s="289" t="s">
        <v>1140</v>
      </c>
    </row>
    <row r="607" spans="1:2" ht="33.75">
      <c r="A607" s="252">
        <v>911</v>
      </c>
      <c r="B607" s="243" t="s">
        <v>1141</v>
      </c>
    </row>
    <row r="608" spans="1:2" ht="45">
      <c r="A608" s="252">
        <v>912</v>
      </c>
      <c r="B608" s="243" t="s">
        <v>1142</v>
      </c>
    </row>
    <row r="609" spans="1:2" ht="15">
      <c r="A609" s="252">
        <v>913</v>
      </c>
      <c r="B609" s="296" t="s">
        <v>1143</v>
      </c>
    </row>
    <row r="610" spans="1:2" ht="15">
      <c r="A610" s="252">
        <v>914</v>
      </c>
      <c r="B610" s="296" t="s">
        <v>1144</v>
      </c>
    </row>
    <row r="611" spans="1:2" ht="15">
      <c r="A611" s="252">
        <v>915</v>
      </c>
      <c r="B611" s="296" t="s">
        <v>1145</v>
      </c>
    </row>
    <row r="612" spans="1:2" ht="38.25">
      <c r="A612" s="252">
        <v>916</v>
      </c>
      <c r="B612" s="289" t="s">
        <v>1146</v>
      </c>
    </row>
    <row r="613" spans="1:2" ht="45">
      <c r="A613" s="252">
        <v>917</v>
      </c>
      <c r="B613" s="243" t="s">
        <v>1147</v>
      </c>
    </row>
    <row r="614" spans="1:2" ht="15">
      <c r="A614" s="252">
        <v>918</v>
      </c>
      <c r="B614" s="292" t="s">
        <v>1148</v>
      </c>
    </row>
    <row r="615" spans="1:2" ht="15">
      <c r="A615" s="252">
        <v>919</v>
      </c>
      <c r="B615" s="278" t="s">
        <v>1149</v>
      </c>
    </row>
    <row r="616" spans="1:2" ht="15">
      <c r="A616" s="252">
        <v>920</v>
      </c>
      <c r="B616" s="290" t="s">
        <v>1150</v>
      </c>
    </row>
    <row r="617" spans="1:2" ht="15">
      <c r="A617" s="252">
        <v>921</v>
      </c>
      <c r="B617" s="289" t="s">
        <v>1151</v>
      </c>
    </row>
    <row r="618" spans="1:2" ht="21">
      <c r="A618" s="252">
        <v>922</v>
      </c>
      <c r="B618" s="293" t="s">
        <v>1152</v>
      </c>
    </row>
    <row r="619" spans="1:2" ht="21">
      <c r="A619" s="252">
        <v>923</v>
      </c>
      <c r="B619" s="293" t="s">
        <v>1153</v>
      </c>
    </row>
    <row r="620" spans="1:2" ht="38.25">
      <c r="A620" s="252">
        <v>924</v>
      </c>
      <c r="B620" s="290" t="s">
        <v>1154</v>
      </c>
    </row>
    <row r="621" spans="1:2" ht="15">
      <c r="A621" s="252">
        <v>925</v>
      </c>
      <c r="B621" s="296" t="s">
        <v>1155</v>
      </c>
    </row>
    <row r="622" spans="1:2" ht="38.25">
      <c r="A622" s="252">
        <v>926</v>
      </c>
      <c r="B622" s="290" t="s">
        <v>1156</v>
      </c>
    </row>
    <row r="623" spans="1:2" ht="15">
      <c r="A623" s="252">
        <v>927</v>
      </c>
      <c r="B623" s="296" t="s">
        <v>1157</v>
      </c>
    </row>
    <row r="624" spans="1:2" ht="25.5">
      <c r="A624" s="252">
        <v>928</v>
      </c>
      <c r="B624" s="295" t="s">
        <v>1158</v>
      </c>
    </row>
    <row r="625" spans="1:2" ht="15">
      <c r="A625" s="252">
        <v>929</v>
      </c>
      <c r="B625" s="292" t="s">
        <v>1159</v>
      </c>
    </row>
    <row r="626" spans="1:2" ht="15">
      <c r="A626" s="252">
        <v>930</v>
      </c>
      <c r="B626" s="296" t="s">
        <v>1160</v>
      </c>
    </row>
    <row r="627" spans="1:2" ht="15">
      <c r="A627" s="252">
        <v>931</v>
      </c>
      <c r="B627" s="291" t="s">
        <v>1161</v>
      </c>
    </row>
    <row r="628" spans="1:2" ht="25.5">
      <c r="A628" s="252">
        <v>932</v>
      </c>
      <c r="B628" s="289" t="s">
        <v>1162</v>
      </c>
    </row>
    <row r="629" spans="1:2" ht="15">
      <c r="A629" s="252">
        <v>933</v>
      </c>
      <c r="B629" s="296" t="s">
        <v>1163</v>
      </c>
    </row>
    <row r="630" spans="1:2" ht="22.5">
      <c r="A630" s="252">
        <v>934</v>
      </c>
      <c r="B630" s="292" t="s">
        <v>1164</v>
      </c>
    </row>
    <row r="631" spans="1:2" ht="22.5">
      <c r="A631" s="252">
        <v>935</v>
      </c>
      <c r="B631" s="297" t="s">
        <v>1165</v>
      </c>
    </row>
    <row r="632" spans="1:2" ht="15">
      <c r="A632" s="252">
        <v>936</v>
      </c>
      <c r="B632" s="298" t="s">
        <v>1166</v>
      </c>
    </row>
    <row r="633" spans="1:2" ht="15">
      <c r="A633" s="252">
        <v>937</v>
      </c>
      <c r="B633" s="299" t="s">
        <v>1167</v>
      </c>
    </row>
    <row r="634" spans="1:2" ht="15">
      <c r="A634" s="252">
        <v>938</v>
      </c>
      <c r="B634" s="290" t="s">
        <v>1168</v>
      </c>
    </row>
    <row r="635" spans="1:2" ht="15">
      <c r="A635" s="252">
        <v>939</v>
      </c>
      <c r="B635" s="300" t="s">
        <v>1169</v>
      </c>
    </row>
    <row r="636" spans="1:2" ht="25.5">
      <c r="A636" s="252">
        <v>940</v>
      </c>
      <c r="B636" s="289" t="s">
        <v>1170</v>
      </c>
    </row>
    <row r="637" spans="1:2" ht="15">
      <c r="A637" s="252">
        <v>941</v>
      </c>
      <c r="B637" s="297" t="s">
        <v>1171</v>
      </c>
    </row>
    <row r="638" spans="1:2" ht="15">
      <c r="A638" s="252">
        <v>942</v>
      </c>
      <c r="B638" s="296" t="s">
        <v>1172</v>
      </c>
    </row>
    <row r="639" spans="1:2" ht="25.5">
      <c r="A639" s="252">
        <v>943</v>
      </c>
      <c r="B639" s="295" t="s">
        <v>1173</v>
      </c>
    </row>
    <row r="640" spans="1:2" ht="15">
      <c r="A640" s="252">
        <v>944</v>
      </c>
      <c r="B640" s="290" t="s">
        <v>1174</v>
      </c>
    </row>
    <row r="641" spans="1:2" ht="15">
      <c r="A641" s="252">
        <v>945</v>
      </c>
      <c r="B641" s="296" t="s">
        <v>1175</v>
      </c>
    </row>
    <row r="642" spans="1:2" ht="15">
      <c r="A642" s="252">
        <v>946</v>
      </c>
      <c r="B642" s="295" t="s">
        <v>1176</v>
      </c>
    </row>
    <row r="643" spans="1:2" ht="22.5">
      <c r="A643" s="252">
        <v>947</v>
      </c>
      <c r="B643" s="292" t="s">
        <v>1177</v>
      </c>
    </row>
    <row r="644" spans="1:2" ht="33.75">
      <c r="A644" s="252">
        <v>948</v>
      </c>
      <c r="B644" s="292" t="s">
        <v>1178</v>
      </c>
    </row>
    <row r="645" spans="1:2" ht="15">
      <c r="A645" s="252">
        <v>949</v>
      </c>
      <c r="B645" s="296" t="s">
        <v>1179</v>
      </c>
    </row>
    <row r="646" spans="1:2" ht="15">
      <c r="A646" s="252">
        <v>950</v>
      </c>
      <c r="B646" s="296" t="s">
        <v>1180</v>
      </c>
    </row>
    <row r="647" spans="1:2" ht="25.5">
      <c r="A647" s="252">
        <v>951</v>
      </c>
      <c r="B647" s="290" t="s">
        <v>1181</v>
      </c>
    </row>
    <row r="648" spans="1:2" ht="15">
      <c r="A648" s="252">
        <v>952</v>
      </c>
      <c r="B648" s="296" t="s">
        <v>1182</v>
      </c>
    </row>
    <row r="649" spans="1:2" ht="25.5">
      <c r="A649" s="252">
        <v>953</v>
      </c>
      <c r="B649" s="289" t="s">
        <v>1183</v>
      </c>
    </row>
    <row r="650" spans="1:2" ht="21">
      <c r="A650" s="252">
        <v>954</v>
      </c>
      <c r="B650" s="293" t="s">
        <v>1184</v>
      </c>
    </row>
    <row r="651" spans="1:2" ht="15">
      <c r="A651" s="252">
        <v>955</v>
      </c>
      <c r="B651" s="293" t="s">
        <v>1185</v>
      </c>
    </row>
    <row r="652" spans="1:2" ht="25.5">
      <c r="A652" s="384">
        <v>956</v>
      </c>
      <c r="B652" s="287" t="s">
        <v>1186</v>
      </c>
    </row>
    <row r="653" spans="1:2" ht="22.5">
      <c r="A653" s="252">
        <v>957</v>
      </c>
      <c r="B653" s="292" t="s">
        <v>1187</v>
      </c>
    </row>
    <row r="654" spans="1:2" ht="22.5">
      <c r="A654" s="252">
        <v>958</v>
      </c>
      <c r="B654" s="292" t="s">
        <v>1188</v>
      </c>
    </row>
    <row r="655" spans="1:2" ht="33.75">
      <c r="A655" s="252">
        <v>959</v>
      </c>
      <c r="B655" s="292" t="s">
        <v>1189</v>
      </c>
    </row>
    <row r="656" spans="1:2" ht="15">
      <c r="A656" s="252">
        <v>985</v>
      </c>
      <c r="B656" s="291" t="s">
        <v>1190</v>
      </c>
    </row>
    <row r="657" spans="1:2" ht="15">
      <c r="A657" s="252">
        <v>986</v>
      </c>
      <c r="B657" s="289" t="s">
        <v>1191</v>
      </c>
    </row>
    <row r="658" spans="1:2" ht="22.5">
      <c r="A658" s="252">
        <v>987</v>
      </c>
      <c r="B658" s="292" t="s">
        <v>1192</v>
      </c>
    </row>
    <row r="659" spans="1:2" ht="15">
      <c r="A659" s="252">
        <v>988</v>
      </c>
      <c r="B659" s="296" t="s">
        <v>1193</v>
      </c>
    </row>
    <row r="660" spans="1:2" ht="15">
      <c r="A660" s="252">
        <v>989</v>
      </c>
      <c r="B660" s="296" t="s">
        <v>1194</v>
      </c>
    </row>
    <row r="661" spans="1:2" ht="15">
      <c r="A661" s="252">
        <v>990</v>
      </c>
      <c r="B661" s="290" t="s">
        <v>1195</v>
      </c>
    </row>
    <row r="662" spans="1:2" ht="15">
      <c r="A662" s="252">
        <v>991</v>
      </c>
      <c r="B662" s="296" t="s">
        <v>1196</v>
      </c>
    </row>
    <row r="663" spans="1:2" ht="15">
      <c r="A663" s="252">
        <v>992</v>
      </c>
      <c r="B663" s="290" t="s">
        <v>1197</v>
      </c>
    </row>
    <row r="664" spans="1:2" ht="15">
      <c r="A664" s="252">
        <v>993</v>
      </c>
      <c r="B664" s="296" t="s">
        <v>1198</v>
      </c>
    </row>
    <row r="665" spans="1:2" ht="15">
      <c r="A665" s="252">
        <v>994</v>
      </c>
      <c r="B665" s="290" t="s">
        <v>1199</v>
      </c>
    </row>
    <row r="666" spans="1:2" ht="15">
      <c r="A666" s="252">
        <v>995</v>
      </c>
      <c r="B666" s="296" t="s">
        <v>1200</v>
      </c>
    </row>
    <row r="667" spans="1:2" ht="15">
      <c r="A667" s="252">
        <v>996</v>
      </c>
      <c r="B667" s="290" t="s">
        <v>1201</v>
      </c>
    </row>
    <row r="668" spans="1:2" ht="15">
      <c r="A668" s="252">
        <v>997</v>
      </c>
      <c r="B668" s="296" t="s">
        <v>1202</v>
      </c>
    </row>
    <row r="669" spans="1:2" ht="25.5">
      <c r="A669" s="252">
        <v>998</v>
      </c>
      <c r="B669" s="290" t="s">
        <v>1203</v>
      </c>
    </row>
    <row r="670" spans="1:2" ht="15">
      <c r="A670" s="252">
        <v>999</v>
      </c>
      <c r="B670" s="296" t="s">
        <v>1204</v>
      </c>
    </row>
    <row r="671" spans="1:2" ht="15.75" thickBot="1">
      <c r="A671" s="252">
        <v>1000</v>
      </c>
      <c r="B671" s="296" t="s">
        <v>1205</v>
      </c>
    </row>
    <row r="672" spans="1:2" ht="25.5">
      <c r="A672" s="252">
        <v>1001</v>
      </c>
      <c r="B672" s="264" t="s">
        <v>1206</v>
      </c>
    </row>
    <row r="673" spans="1:2" ht="54">
      <c r="A673" s="252">
        <v>1002</v>
      </c>
      <c r="B673" s="259" t="s">
        <v>1207</v>
      </c>
    </row>
    <row r="674" spans="1:2" ht="15.75">
      <c r="A674" s="252">
        <v>1003</v>
      </c>
      <c r="B674" s="249" t="s">
        <v>1208</v>
      </c>
    </row>
    <row r="675" spans="1:2" ht="22.5">
      <c r="A675" s="252">
        <v>1006</v>
      </c>
      <c r="B675" s="243" t="s">
        <v>1209</v>
      </c>
    </row>
    <row r="676" spans="1:2" ht="22.5">
      <c r="A676" s="252">
        <v>1007</v>
      </c>
      <c r="B676" s="243" t="s">
        <v>1210</v>
      </c>
    </row>
    <row r="677" spans="1:2" ht="15">
      <c r="A677" s="252">
        <v>1010</v>
      </c>
      <c r="B677" s="250" t="s">
        <v>1211</v>
      </c>
    </row>
    <row r="678" spans="1:2" ht="15">
      <c r="A678" s="252">
        <v>1011</v>
      </c>
      <c r="B678" s="603" t="s">
        <v>1212</v>
      </c>
    </row>
    <row r="679" spans="1:2" ht="15">
      <c r="A679" s="252">
        <v>1012</v>
      </c>
      <c r="B679" s="603" t="s">
        <v>1213</v>
      </c>
    </row>
    <row r="680" spans="1:2" ht="15">
      <c r="A680" s="252">
        <v>1013</v>
      </c>
      <c r="B680" s="247" t="s">
        <v>1214</v>
      </c>
    </row>
    <row r="681" spans="1:2" ht="33.75">
      <c r="A681" s="252">
        <v>1014</v>
      </c>
      <c r="B681" s="243" t="s">
        <v>1215</v>
      </c>
    </row>
    <row r="682" spans="1:2" ht="15">
      <c r="A682" s="252">
        <v>1015</v>
      </c>
      <c r="B682" s="247" t="s">
        <v>1216</v>
      </c>
    </row>
    <row r="683" spans="1:2" ht="22.5">
      <c r="A683" s="252">
        <v>1016</v>
      </c>
      <c r="B683" s="243" t="s">
        <v>1217</v>
      </c>
    </row>
    <row r="684" spans="1:2" ht="15">
      <c r="A684" s="252">
        <v>1017</v>
      </c>
      <c r="B684" s="243" t="s">
        <v>1218</v>
      </c>
    </row>
    <row r="685" spans="1:2" ht="15">
      <c r="A685" s="252">
        <v>1018</v>
      </c>
      <c r="B685" s="243" t="s">
        <v>1219</v>
      </c>
    </row>
    <row r="686" spans="1:2" ht="22.5">
      <c r="A686" s="252">
        <v>1019</v>
      </c>
      <c r="B686" s="243" t="s">
        <v>1220</v>
      </c>
    </row>
    <row r="687" spans="1:2" ht="22.5">
      <c r="A687" s="252">
        <v>1020</v>
      </c>
      <c r="B687" s="243" t="s">
        <v>1221</v>
      </c>
    </row>
    <row r="688" spans="1:2" ht="15">
      <c r="A688" s="252">
        <v>1022</v>
      </c>
      <c r="B688" s="250" t="s">
        <v>1222</v>
      </c>
    </row>
    <row r="689" spans="1:2" ht="15">
      <c r="A689" s="252">
        <v>1025</v>
      </c>
      <c r="B689" s="278" t="s">
        <v>1223</v>
      </c>
    </row>
    <row r="690" spans="1:2" ht="15">
      <c r="A690" s="252">
        <v>1026</v>
      </c>
      <c r="B690" s="275" t="s">
        <v>1224</v>
      </c>
    </row>
    <row r="691" spans="1:2" ht="15">
      <c r="A691" s="252">
        <v>1027</v>
      </c>
      <c r="B691" s="278" t="s">
        <v>1225</v>
      </c>
    </row>
    <row r="692" spans="1:2" ht="15">
      <c r="A692" s="252">
        <v>1028</v>
      </c>
      <c r="B692" s="282" t="s">
        <v>1226</v>
      </c>
    </row>
    <row r="693" spans="1:2" ht="15">
      <c r="A693" s="252">
        <v>1029</v>
      </c>
      <c r="B693" s="247" t="s">
        <v>1227</v>
      </c>
    </row>
    <row r="694" spans="1:2" ht="33.75">
      <c r="A694" s="252">
        <v>1030</v>
      </c>
      <c r="B694" s="243" t="s">
        <v>1228</v>
      </c>
    </row>
    <row r="695" spans="1:2" ht="22.5">
      <c r="A695" s="252">
        <v>1031</v>
      </c>
      <c r="B695" s="243" t="s">
        <v>1229</v>
      </c>
    </row>
    <row r="696" spans="1:2" ht="15">
      <c r="A696" s="252">
        <v>1035</v>
      </c>
      <c r="B696" s="275" t="s">
        <v>1230</v>
      </c>
    </row>
    <row r="697" spans="1:2" ht="15">
      <c r="A697" s="252">
        <v>1037</v>
      </c>
      <c r="B697" s="282" t="s">
        <v>1231</v>
      </c>
    </row>
    <row r="698" spans="1:2" ht="15">
      <c r="A698" s="252">
        <v>1045</v>
      </c>
      <c r="B698" s="247" t="s">
        <v>1232</v>
      </c>
    </row>
    <row r="699" spans="1:2" ht="22.5">
      <c r="A699" s="252">
        <v>1046</v>
      </c>
      <c r="B699" s="243" t="s">
        <v>1233</v>
      </c>
    </row>
    <row r="700" spans="1:2" ht="15">
      <c r="A700" s="252">
        <v>1062</v>
      </c>
      <c r="B700" s="604" t="s">
        <v>1234</v>
      </c>
    </row>
    <row r="701" spans="1:2" ht="15">
      <c r="A701" s="252">
        <v>1087</v>
      </c>
      <c r="B701" s="269" t="s">
        <v>1235</v>
      </c>
    </row>
    <row r="702" spans="1:2" ht="25.5">
      <c r="A702" s="252">
        <v>1088</v>
      </c>
      <c r="B702" s="247" t="s">
        <v>1236</v>
      </c>
    </row>
    <row r="703" spans="1:2" ht="56.25">
      <c r="A703" s="252">
        <v>1089</v>
      </c>
      <c r="B703" s="243" t="s">
        <v>1237</v>
      </c>
    </row>
    <row r="704" spans="1:2" ht="15">
      <c r="A704" s="252">
        <v>1091</v>
      </c>
      <c r="B704" s="243" t="s">
        <v>1238</v>
      </c>
    </row>
    <row r="705" spans="1:2" ht="15">
      <c r="A705" s="252">
        <v>1092</v>
      </c>
      <c r="B705" s="605" t="s">
        <v>473</v>
      </c>
    </row>
    <row r="706" spans="1:2" ht="15">
      <c r="A706" s="252">
        <v>1093</v>
      </c>
      <c r="B706" s="243" t="s">
        <v>1239</v>
      </c>
    </row>
    <row r="707" spans="1:2" ht="15">
      <c r="A707" s="252">
        <v>1094</v>
      </c>
      <c r="B707" s="605" t="s">
        <v>81</v>
      </c>
    </row>
    <row r="708" spans="1:2" ht="15">
      <c r="A708" s="252">
        <v>1095</v>
      </c>
      <c r="B708" s="302" t="s">
        <v>1240</v>
      </c>
    </row>
    <row r="709" spans="1:2" ht="25.5">
      <c r="A709" s="252">
        <v>1096</v>
      </c>
      <c r="B709" s="247" t="s">
        <v>1241</v>
      </c>
    </row>
    <row r="710" spans="1:2" ht="15.75" thickBot="1">
      <c r="A710" s="252">
        <v>1098</v>
      </c>
      <c r="B710" s="543" t="s">
        <v>1242</v>
      </c>
    </row>
    <row r="711" spans="1:2" ht="26.25" thickBot="1">
      <c r="A711" s="252">
        <v>1099</v>
      </c>
      <c r="B711" s="264" t="s">
        <v>1243</v>
      </c>
    </row>
    <row r="712" spans="1:2" ht="15.75" thickBot="1">
      <c r="A712" s="252">
        <v>1100</v>
      </c>
      <c r="B712" s="265" t="s">
        <v>1244</v>
      </c>
    </row>
    <row r="713" spans="1:2" ht="15.75" thickBot="1">
      <c r="A713" s="252">
        <v>1101</v>
      </c>
      <c r="B713" s="266" t="s">
        <v>1245</v>
      </c>
    </row>
    <row r="714" spans="1:2" ht="15.75" thickBot="1">
      <c r="A714" s="252">
        <v>1102</v>
      </c>
      <c r="B714" s="266" t="s">
        <v>1246</v>
      </c>
    </row>
    <row r="715" spans="1:2" ht="15">
      <c r="A715" s="252">
        <v>1103</v>
      </c>
      <c r="B715" s="266" t="s">
        <v>1247</v>
      </c>
    </row>
    <row r="716" spans="1:2" ht="15">
      <c r="A716" s="252">
        <v>1104</v>
      </c>
      <c r="B716" s="267" t="s">
        <v>1248</v>
      </c>
    </row>
    <row r="717" spans="1:2" ht="15">
      <c r="A717" s="252">
        <v>1105</v>
      </c>
      <c r="B717" s="268" t="s">
        <v>1249</v>
      </c>
    </row>
    <row r="718" spans="1:2" ht="36">
      <c r="A718" s="252">
        <v>1106</v>
      </c>
      <c r="B718" s="259" t="s">
        <v>1250</v>
      </c>
    </row>
    <row r="719" spans="1:2" ht="15">
      <c r="A719" s="252">
        <v>1122</v>
      </c>
      <c r="B719" s="247" t="s">
        <v>1251</v>
      </c>
    </row>
    <row r="720" spans="1:2" ht="22.5">
      <c r="A720" s="252">
        <v>1123</v>
      </c>
      <c r="B720" s="243" t="s">
        <v>1252</v>
      </c>
    </row>
    <row r="721" spans="1:2" ht="22.5">
      <c r="A721" s="252">
        <v>1124</v>
      </c>
      <c r="B721" s="243" t="s">
        <v>1253</v>
      </c>
    </row>
    <row r="722" spans="1:2" ht="22.5">
      <c r="A722" s="252">
        <v>1125</v>
      </c>
      <c r="B722" s="243" t="s">
        <v>1254</v>
      </c>
    </row>
    <row r="723" spans="1:2" ht="22.5">
      <c r="A723" s="252">
        <v>1126</v>
      </c>
      <c r="B723" s="243" t="s">
        <v>1255</v>
      </c>
    </row>
    <row r="724" spans="1:2" ht="22.5">
      <c r="A724" s="252">
        <v>1127</v>
      </c>
      <c r="B724" s="243" t="s">
        <v>1256</v>
      </c>
    </row>
    <row r="725" spans="1:2" ht="22.5">
      <c r="A725" s="252">
        <v>1128</v>
      </c>
      <c r="B725" s="243" t="s">
        <v>1257</v>
      </c>
    </row>
    <row r="726" spans="1:2" ht="56.25">
      <c r="A726" s="252">
        <v>1129</v>
      </c>
      <c r="B726" s="243" t="s">
        <v>1258</v>
      </c>
    </row>
    <row r="727" spans="1:2" ht="22.5">
      <c r="A727" s="252">
        <v>1130</v>
      </c>
      <c r="B727" s="243" t="s">
        <v>1259</v>
      </c>
    </row>
    <row r="728" spans="1:2" ht="15">
      <c r="A728" s="252">
        <v>1132</v>
      </c>
      <c r="B728" s="243" t="s">
        <v>1260</v>
      </c>
    </row>
    <row r="729" spans="1:2" ht="15">
      <c r="A729" s="252">
        <v>1133</v>
      </c>
      <c r="B729" s="301" t="s">
        <v>1261</v>
      </c>
    </row>
    <row r="730" spans="1:2" ht="15">
      <c r="A730" s="252">
        <v>1134</v>
      </c>
      <c r="B730" s="301" t="s">
        <v>1262</v>
      </c>
    </row>
    <row r="731" spans="1:2" ht="15">
      <c r="A731" s="252">
        <v>1135</v>
      </c>
      <c r="B731" s="302" t="s">
        <v>1263</v>
      </c>
    </row>
    <row r="732" spans="1:2" ht="15">
      <c r="A732" s="252">
        <v>1136</v>
      </c>
      <c r="B732" s="247" t="s">
        <v>1264</v>
      </c>
    </row>
    <row r="733" spans="1:2" ht="45.75" thickBot="1">
      <c r="A733" s="252">
        <v>1137</v>
      </c>
      <c r="B733" s="243" t="s">
        <v>1265</v>
      </c>
    </row>
    <row r="734" spans="1:2" ht="25.5">
      <c r="A734" s="252">
        <v>1144</v>
      </c>
      <c r="B734" s="264" t="s">
        <v>1266</v>
      </c>
    </row>
    <row r="735" spans="1:2" ht="36">
      <c r="A735" s="252">
        <v>1145</v>
      </c>
      <c r="B735" s="259" t="s">
        <v>1267</v>
      </c>
    </row>
    <row r="736" spans="1:2" ht="15.75">
      <c r="A736" s="252">
        <v>1146</v>
      </c>
      <c r="B736" s="249" t="s">
        <v>1268</v>
      </c>
    </row>
    <row r="737" spans="1:2" ht="30">
      <c r="A737" s="252">
        <v>1147</v>
      </c>
      <c r="B737" s="269" t="s">
        <v>1269</v>
      </c>
    </row>
    <row r="738" spans="1:2" ht="22.5">
      <c r="A738" s="252">
        <v>1148</v>
      </c>
      <c r="B738" s="243" t="s">
        <v>1270</v>
      </c>
    </row>
    <row r="739" spans="1:2" ht="33.75">
      <c r="A739" s="252">
        <v>1149</v>
      </c>
      <c r="B739" s="243" t="s">
        <v>1271</v>
      </c>
    </row>
    <row r="740" spans="1:2" ht="15">
      <c r="A740" s="252">
        <v>1151</v>
      </c>
      <c r="B740" s="247" t="s">
        <v>1272</v>
      </c>
    </row>
    <row r="741" spans="1:2" ht="15">
      <c r="A741" s="252">
        <v>1153</v>
      </c>
      <c r="B741" s="247" t="s">
        <v>1273</v>
      </c>
    </row>
    <row r="742" spans="1:2" ht="15">
      <c r="A742" s="252">
        <v>1154</v>
      </c>
      <c r="B742" s="243" t="s">
        <v>1274</v>
      </c>
    </row>
    <row r="743" spans="1:2" ht="15">
      <c r="A743" s="252">
        <v>1155</v>
      </c>
      <c r="B743" s="243" t="s">
        <v>1275</v>
      </c>
    </row>
    <row r="744" spans="1:2" ht="15">
      <c r="A744" s="252">
        <v>1156</v>
      </c>
      <c r="B744" s="243" t="s">
        <v>1276</v>
      </c>
    </row>
    <row r="745" spans="1:2" ht="15">
      <c r="A745" s="252">
        <v>1157</v>
      </c>
      <c r="B745" s="243" t="s">
        <v>1277</v>
      </c>
    </row>
    <row r="746" spans="1:2" ht="15">
      <c r="A746" s="252">
        <v>1158</v>
      </c>
      <c r="B746" s="243" t="s">
        <v>1278</v>
      </c>
    </row>
    <row r="747" spans="1:2" ht="15">
      <c r="A747" s="252">
        <v>1159</v>
      </c>
      <c r="B747" s="243" t="s">
        <v>1279</v>
      </c>
    </row>
    <row r="748" spans="1:2" ht="15">
      <c r="A748" s="252">
        <v>1160</v>
      </c>
      <c r="B748" s="243" t="s">
        <v>1280</v>
      </c>
    </row>
    <row r="749" spans="1:2" ht="21">
      <c r="A749" s="252">
        <v>1161</v>
      </c>
      <c r="B749" s="244" t="s">
        <v>1281</v>
      </c>
    </row>
    <row r="750" spans="1:2" ht="15">
      <c r="A750" s="252">
        <v>1162</v>
      </c>
      <c r="B750" s="606" t="s">
        <v>1282</v>
      </c>
    </row>
    <row r="751" spans="1:2" ht="15">
      <c r="A751" s="252">
        <v>1164</v>
      </c>
      <c r="B751" s="607" t="s">
        <v>1283</v>
      </c>
    </row>
    <row r="752" spans="1:2" ht="15">
      <c r="A752" s="252">
        <v>1165</v>
      </c>
      <c r="B752" s="287" t="s">
        <v>1284</v>
      </c>
    </row>
    <row r="753" spans="1:2" ht="15">
      <c r="A753" s="252">
        <v>1166</v>
      </c>
      <c r="B753" s="599" t="s">
        <v>1285</v>
      </c>
    </row>
    <row r="754" spans="1:2" ht="15">
      <c r="A754" s="252">
        <v>1167</v>
      </c>
      <c r="B754" s="276" t="s">
        <v>1286</v>
      </c>
    </row>
    <row r="755" spans="1:2" ht="15">
      <c r="A755" s="252">
        <v>1168</v>
      </c>
      <c r="B755" s="276" t="s">
        <v>1287</v>
      </c>
    </row>
    <row r="756" spans="1:2" ht="15">
      <c r="A756" s="252">
        <v>1169</v>
      </c>
      <c r="B756" s="276" t="s">
        <v>1288</v>
      </c>
    </row>
    <row r="757" spans="1:2" ht="15">
      <c r="A757" s="252">
        <v>1170</v>
      </c>
      <c r="B757" s="276" t="s">
        <v>1289</v>
      </c>
    </row>
    <row r="758" spans="1:2" ht="15">
      <c r="A758" s="252">
        <v>1171</v>
      </c>
      <c r="B758" s="276" t="s">
        <v>1290</v>
      </c>
    </row>
    <row r="759" spans="1:2" ht="15">
      <c r="A759" s="252">
        <v>1172</v>
      </c>
      <c r="B759" s="276" t="s">
        <v>1291</v>
      </c>
    </row>
    <row r="760" spans="1:2" ht="15">
      <c r="A760" s="252">
        <v>1173</v>
      </c>
      <c r="B760" s="276" t="s">
        <v>1292</v>
      </c>
    </row>
    <row r="761" spans="1:2" ht="15">
      <c r="A761" s="252">
        <v>1174</v>
      </c>
      <c r="B761" s="276" t="s">
        <v>1293</v>
      </c>
    </row>
    <row r="762" spans="1:2" ht="15">
      <c r="A762" s="252">
        <v>1175</v>
      </c>
      <c r="B762" s="276" t="s">
        <v>1294</v>
      </c>
    </row>
    <row r="763" spans="1:2" ht="15">
      <c r="A763" s="252">
        <v>1176</v>
      </c>
      <c r="B763" s="276" t="s">
        <v>1295</v>
      </c>
    </row>
    <row r="764" spans="1:2" ht="15">
      <c r="A764" s="252">
        <v>1177</v>
      </c>
      <c r="B764" s="276" t="s">
        <v>1296</v>
      </c>
    </row>
    <row r="765" spans="1:2" ht="15">
      <c r="A765" s="252">
        <v>1178</v>
      </c>
      <c r="B765" s="276" t="s">
        <v>1297</v>
      </c>
    </row>
    <row r="766" spans="1:2" ht="15">
      <c r="A766" s="252">
        <v>1179</v>
      </c>
      <c r="B766" s="276" t="s">
        <v>1298</v>
      </c>
    </row>
    <row r="767" spans="1:2" ht="15">
      <c r="A767" s="252">
        <v>1180</v>
      </c>
      <c r="B767" s="276" t="s">
        <v>1299</v>
      </c>
    </row>
    <row r="768" spans="1:2" ht="15">
      <c r="A768" s="252">
        <v>1181</v>
      </c>
      <c r="B768" s="276" t="s">
        <v>1300</v>
      </c>
    </row>
    <row r="769" spans="1:2" ht="15">
      <c r="A769" s="252">
        <v>1182</v>
      </c>
      <c r="B769" s="276" t="s">
        <v>1301</v>
      </c>
    </row>
    <row r="770" spans="1:2" ht="15">
      <c r="A770" s="252">
        <v>1183</v>
      </c>
      <c r="B770" s="276" t="s">
        <v>1302</v>
      </c>
    </row>
    <row r="771" spans="1:2" ht="15">
      <c r="A771" s="252">
        <v>1184</v>
      </c>
      <c r="B771" s="276" t="s">
        <v>1303</v>
      </c>
    </row>
    <row r="772" spans="1:2" ht="15">
      <c r="A772" s="252">
        <v>1185</v>
      </c>
      <c r="B772" s="276" t="s">
        <v>1304</v>
      </c>
    </row>
    <row r="773" spans="1:2" ht="15">
      <c r="A773" s="252">
        <v>1186</v>
      </c>
      <c r="B773" s="276" t="s">
        <v>1305</v>
      </c>
    </row>
    <row r="774" spans="1:2" ht="15">
      <c r="A774" s="252">
        <v>1187</v>
      </c>
      <c r="B774" s="276" t="s">
        <v>1306</v>
      </c>
    </row>
    <row r="775" spans="1:2" ht="15">
      <c r="A775" s="252">
        <v>1188</v>
      </c>
      <c r="B775" s="276" t="s">
        <v>1307</v>
      </c>
    </row>
    <row r="776" spans="1:2" ht="15">
      <c r="A776" s="252">
        <v>1189</v>
      </c>
      <c r="B776" s="276" t="s">
        <v>1308</v>
      </c>
    </row>
    <row r="777" spans="1:2" ht="15">
      <c r="A777" s="252">
        <v>1190</v>
      </c>
      <c r="B777" s="276" t="s">
        <v>1309</v>
      </c>
    </row>
    <row r="778" spans="1:2" ht="15">
      <c r="A778" s="252">
        <v>1191</v>
      </c>
      <c r="B778" s="276" t="s">
        <v>1310</v>
      </c>
    </row>
    <row r="779" spans="1:2" ht="15">
      <c r="A779" s="252">
        <v>1192</v>
      </c>
      <c r="B779" s="276" t="s">
        <v>1311</v>
      </c>
    </row>
    <row r="780" spans="1:2" ht="15">
      <c r="A780" s="252">
        <v>1193</v>
      </c>
      <c r="B780" s="276" t="s">
        <v>1312</v>
      </c>
    </row>
    <row r="781" spans="1:2" ht="15">
      <c r="A781" s="252">
        <v>1194</v>
      </c>
      <c r="B781" s="276" t="s">
        <v>1313</v>
      </c>
    </row>
    <row r="782" spans="1:2" ht="15">
      <c r="A782" s="252">
        <v>1195</v>
      </c>
      <c r="B782" s="276" t="s">
        <v>1314</v>
      </c>
    </row>
    <row r="783" spans="1:2" ht="15">
      <c r="A783" s="252">
        <v>1196</v>
      </c>
      <c r="B783" s="276" t="s">
        <v>1315</v>
      </c>
    </row>
    <row r="784" spans="1:2" ht="15">
      <c r="A784" s="252">
        <v>1197</v>
      </c>
      <c r="B784" s="276" t="s">
        <v>1316</v>
      </c>
    </row>
    <row r="785" spans="1:2" ht="15">
      <c r="A785" s="252">
        <v>1198</v>
      </c>
      <c r="B785" s="276" t="s">
        <v>1317</v>
      </c>
    </row>
    <row r="786" spans="1:2" ht="15">
      <c r="A786" s="252">
        <v>1199</v>
      </c>
      <c r="B786" s="276" t="s">
        <v>1318</v>
      </c>
    </row>
    <row r="787" spans="1:2" ht="15">
      <c r="A787" s="252">
        <v>1200</v>
      </c>
      <c r="B787" s="276" t="s">
        <v>1319</v>
      </c>
    </row>
    <row r="788" spans="1:2" ht="15">
      <c r="A788" s="252">
        <v>1201</v>
      </c>
      <c r="B788" s="276" t="s">
        <v>1320</v>
      </c>
    </row>
    <row r="789" spans="1:2" ht="15">
      <c r="A789" s="252">
        <v>1202</v>
      </c>
      <c r="B789" s="276" t="s">
        <v>1321</v>
      </c>
    </row>
    <row r="790" spans="1:2" ht="15">
      <c r="A790" s="252">
        <v>1203</v>
      </c>
      <c r="B790" s="276" t="s">
        <v>1322</v>
      </c>
    </row>
    <row r="791" spans="1:2" ht="15">
      <c r="A791" s="252">
        <v>1204</v>
      </c>
      <c r="B791" s="276" t="s">
        <v>1323</v>
      </c>
    </row>
    <row r="792" spans="1:2" ht="15">
      <c r="A792" s="252">
        <v>1205</v>
      </c>
      <c r="B792" s="276" t="s">
        <v>1324</v>
      </c>
    </row>
    <row r="793" spans="1:2" ht="15">
      <c r="A793" s="252">
        <v>1206</v>
      </c>
      <c r="B793" s="276" t="s">
        <v>1325</v>
      </c>
    </row>
    <row r="794" spans="1:2" ht="15">
      <c r="A794" s="252">
        <v>1207</v>
      </c>
      <c r="B794" s="276" t="s">
        <v>1326</v>
      </c>
    </row>
    <row r="795" spans="1:2" ht="15">
      <c r="A795" s="252">
        <v>1208</v>
      </c>
      <c r="B795" s="276" t="s">
        <v>1327</v>
      </c>
    </row>
    <row r="796" spans="1:2" ht="15">
      <c r="A796" s="252">
        <v>1209</v>
      </c>
      <c r="B796" s="276" t="s">
        <v>1328</v>
      </c>
    </row>
    <row r="797" spans="1:2" ht="15">
      <c r="A797" s="252">
        <v>1210</v>
      </c>
      <c r="B797" s="276" t="s">
        <v>1329</v>
      </c>
    </row>
    <row r="798" spans="1:2" ht="15">
      <c r="A798" s="252">
        <v>1211</v>
      </c>
      <c r="B798" s="276" t="s">
        <v>1330</v>
      </c>
    </row>
    <row r="799" spans="1:2" ht="15">
      <c r="A799" s="252">
        <v>1212</v>
      </c>
      <c r="B799" s="276" t="s">
        <v>1331</v>
      </c>
    </row>
    <row r="800" spans="1:2" ht="15">
      <c r="A800" s="252">
        <v>1213</v>
      </c>
      <c r="B800" s="276" t="s">
        <v>1332</v>
      </c>
    </row>
    <row r="801" spans="1:2" ht="25.5">
      <c r="A801" s="252">
        <v>1214</v>
      </c>
      <c r="B801" s="276" t="s">
        <v>1333</v>
      </c>
    </row>
    <row r="802" spans="1:2" ht="15">
      <c r="A802" s="252">
        <v>1215</v>
      </c>
      <c r="B802" s="276" t="s">
        <v>1334</v>
      </c>
    </row>
    <row r="803" spans="1:2" ht="15">
      <c r="A803" s="252">
        <v>1216</v>
      </c>
      <c r="B803" s="276" t="s">
        <v>1335</v>
      </c>
    </row>
    <row r="804" spans="1:2" ht="15">
      <c r="A804" s="252">
        <v>1217</v>
      </c>
      <c r="B804" s="276" t="s">
        <v>1336</v>
      </c>
    </row>
    <row r="805" spans="1:2" ht="15">
      <c r="A805" s="252">
        <v>1218</v>
      </c>
      <c r="B805" s="276" t="s">
        <v>1337</v>
      </c>
    </row>
    <row r="806" spans="1:2" ht="15">
      <c r="A806" s="252">
        <v>1219</v>
      </c>
      <c r="B806" s="276" t="s">
        <v>1338</v>
      </c>
    </row>
    <row r="807" spans="1:2" ht="15">
      <c r="A807" s="252">
        <v>1220</v>
      </c>
      <c r="B807" s="278" t="s">
        <v>1339</v>
      </c>
    </row>
    <row r="808" spans="1:2" ht="25.5">
      <c r="A808" s="252">
        <v>1221</v>
      </c>
      <c r="B808" s="247" t="s">
        <v>1340</v>
      </c>
    </row>
    <row r="809" spans="1:2" ht="22.5">
      <c r="A809" s="252">
        <v>1222</v>
      </c>
      <c r="B809" s="243" t="s">
        <v>1341</v>
      </c>
    </row>
    <row r="810" spans="1:2" ht="21">
      <c r="A810" s="252">
        <v>1223</v>
      </c>
      <c r="B810" s="244" t="s">
        <v>1342</v>
      </c>
    </row>
    <row r="811" spans="1:2" ht="21">
      <c r="A811" s="252">
        <v>1224</v>
      </c>
      <c r="B811" s="244" t="s">
        <v>1343</v>
      </c>
    </row>
    <row r="812" spans="1:2" ht="15">
      <c r="A812" s="252">
        <v>1226</v>
      </c>
      <c r="B812" s="287" t="s">
        <v>1344</v>
      </c>
    </row>
    <row r="813" spans="1:2" ht="30">
      <c r="A813" s="252">
        <v>1227</v>
      </c>
      <c r="B813" s="269" t="s">
        <v>1345</v>
      </c>
    </row>
    <row r="814" spans="1:2" ht="22.5">
      <c r="A814" s="252">
        <v>1228</v>
      </c>
      <c r="B814" s="243" t="s">
        <v>1346</v>
      </c>
    </row>
    <row r="815" spans="1:2" ht="15">
      <c r="A815" s="252">
        <v>1229</v>
      </c>
      <c r="B815" s="247" t="s">
        <v>1347</v>
      </c>
    </row>
    <row r="816" spans="1:2" ht="22.5">
      <c r="A816" s="252">
        <v>1230</v>
      </c>
      <c r="B816" s="243" t="s">
        <v>1348</v>
      </c>
    </row>
    <row r="817" spans="1:2" ht="15">
      <c r="A817" s="252">
        <v>1231</v>
      </c>
      <c r="B817" s="287" t="s">
        <v>1349</v>
      </c>
    </row>
    <row r="818" spans="1:2" ht="15">
      <c r="A818" s="252">
        <v>1232</v>
      </c>
      <c r="B818" s="247" t="s">
        <v>1350</v>
      </c>
    </row>
    <row r="819" spans="1:2" ht="15">
      <c r="A819" s="252">
        <v>1233</v>
      </c>
      <c r="B819" s="243" t="s">
        <v>1351</v>
      </c>
    </row>
    <row r="820" spans="1:2" ht="22.5">
      <c r="A820" s="252">
        <v>1234</v>
      </c>
      <c r="B820" s="243" t="s">
        <v>1352</v>
      </c>
    </row>
    <row r="821" spans="1:2" ht="22.5">
      <c r="A821" s="252">
        <v>1235</v>
      </c>
      <c r="B821" s="243" t="s">
        <v>1353</v>
      </c>
    </row>
    <row r="822" spans="1:2" ht="22.5">
      <c r="A822" s="252">
        <v>1236</v>
      </c>
      <c r="B822" s="243" t="s">
        <v>1354</v>
      </c>
    </row>
    <row r="823" spans="1:2" ht="22.5">
      <c r="A823" s="252">
        <v>1237</v>
      </c>
      <c r="B823" s="243" t="s">
        <v>1355</v>
      </c>
    </row>
    <row r="824" spans="1:2" ht="15">
      <c r="A824" s="252">
        <v>1238</v>
      </c>
      <c r="B824" s="275" t="s">
        <v>1356</v>
      </c>
    </row>
    <row r="825" spans="1:2" ht="15">
      <c r="A825" s="252">
        <v>1239</v>
      </c>
      <c r="B825" s="278" t="s">
        <v>1357</v>
      </c>
    </row>
    <row r="826" spans="1:2" ht="25.5">
      <c r="A826" s="252">
        <v>1240</v>
      </c>
      <c r="B826" s="247" t="s">
        <v>1358</v>
      </c>
    </row>
    <row r="827" spans="1:2" ht="22.5">
      <c r="A827" s="252">
        <v>1241</v>
      </c>
      <c r="B827" s="243" t="s">
        <v>1359</v>
      </c>
    </row>
    <row r="828" spans="1:2" ht="15">
      <c r="A828" s="252">
        <v>1242</v>
      </c>
      <c r="B828" s="287" t="s">
        <v>1360</v>
      </c>
    </row>
    <row r="829" spans="1:2" ht="30">
      <c r="A829" s="252">
        <v>1243</v>
      </c>
      <c r="B829" s="269" t="s">
        <v>1361</v>
      </c>
    </row>
    <row r="830" spans="1:2" ht="33.75">
      <c r="A830" s="252">
        <v>1244</v>
      </c>
      <c r="B830" s="243" t="s">
        <v>1362</v>
      </c>
    </row>
    <row r="831" spans="1:2" ht="15">
      <c r="A831" s="252">
        <v>1245</v>
      </c>
      <c r="B831" s="247" t="s">
        <v>1363</v>
      </c>
    </row>
    <row r="832" spans="1:2" ht="22.5">
      <c r="A832" s="252">
        <v>1246</v>
      </c>
      <c r="B832" s="243" t="s">
        <v>1364</v>
      </c>
    </row>
    <row r="833" spans="1:2" ht="15">
      <c r="A833" s="252">
        <v>1247</v>
      </c>
      <c r="B833" s="287" t="s">
        <v>1365</v>
      </c>
    </row>
    <row r="834" spans="1:2" ht="15">
      <c r="A834" s="252">
        <v>1248</v>
      </c>
      <c r="B834" s="243" t="s">
        <v>1366</v>
      </c>
    </row>
    <row r="835" spans="1:2" ht="22.5">
      <c r="A835" s="252">
        <v>1249</v>
      </c>
      <c r="B835" s="243" t="s">
        <v>1367</v>
      </c>
    </row>
    <row r="836" spans="1:2" ht="22.5">
      <c r="A836" s="252">
        <v>1250</v>
      </c>
      <c r="B836" s="243" t="s">
        <v>1368</v>
      </c>
    </row>
    <row r="837" spans="1:2" ht="22.5">
      <c r="A837" s="252">
        <v>1251</v>
      </c>
      <c r="B837" s="243" t="s">
        <v>1369</v>
      </c>
    </row>
    <row r="838" spans="1:2" ht="22.5">
      <c r="A838" s="252">
        <v>1252</v>
      </c>
      <c r="B838" s="243" t="s">
        <v>1370</v>
      </c>
    </row>
    <row r="839" spans="1:2" ht="25.5">
      <c r="A839" s="252">
        <v>1253</v>
      </c>
      <c r="B839" s="247" t="s">
        <v>1371</v>
      </c>
    </row>
    <row r="840" spans="1:2" ht="22.5">
      <c r="A840" s="252">
        <v>1254</v>
      </c>
      <c r="B840" s="243" t="s">
        <v>1372</v>
      </c>
    </row>
    <row r="841" spans="1:2" ht="15">
      <c r="A841" s="252">
        <v>1255</v>
      </c>
      <c r="B841" s="287" t="s">
        <v>1373</v>
      </c>
    </row>
    <row r="842" spans="1:2" ht="30">
      <c r="A842" s="252">
        <v>1256</v>
      </c>
      <c r="B842" s="269" t="s">
        <v>1374</v>
      </c>
    </row>
    <row r="843" spans="1:2" ht="22.5">
      <c r="A843" s="252">
        <v>1257</v>
      </c>
      <c r="B843" s="243" t="s">
        <v>1375</v>
      </c>
    </row>
    <row r="844" spans="1:2" ht="15">
      <c r="A844" s="252">
        <v>1258</v>
      </c>
      <c r="B844" s="247" t="s">
        <v>1376</v>
      </c>
    </row>
    <row r="845" spans="1:2" ht="15">
      <c r="A845" s="252">
        <v>1259</v>
      </c>
      <c r="B845" s="243" t="s">
        <v>1377</v>
      </c>
    </row>
    <row r="846" spans="1:2" ht="15">
      <c r="A846" s="252">
        <v>1260</v>
      </c>
      <c r="B846" s="287" t="s">
        <v>1378</v>
      </c>
    </row>
    <row r="847" spans="1:2" ht="15">
      <c r="A847" s="252">
        <v>1261</v>
      </c>
      <c r="B847" s="247" t="s">
        <v>1379</v>
      </c>
    </row>
    <row r="848" spans="1:2" ht="15">
      <c r="A848" s="252">
        <v>1262</v>
      </c>
      <c r="B848" s="243" t="s">
        <v>1380</v>
      </c>
    </row>
    <row r="849" spans="1:2" ht="22.5">
      <c r="A849" s="252">
        <v>1263</v>
      </c>
      <c r="B849" s="243" t="s">
        <v>1381</v>
      </c>
    </row>
    <row r="850" spans="1:2" ht="22.5">
      <c r="A850" s="252">
        <v>1264</v>
      </c>
      <c r="B850" s="243" t="s">
        <v>1382</v>
      </c>
    </row>
    <row r="851" spans="1:2" ht="33.75">
      <c r="A851" s="252">
        <v>1265</v>
      </c>
      <c r="B851" s="243" t="s">
        <v>1383</v>
      </c>
    </row>
    <row r="852" spans="1:2" ht="15">
      <c r="A852" s="252">
        <v>1266</v>
      </c>
      <c r="B852" s="250" t="s">
        <v>1384</v>
      </c>
    </row>
    <row r="853" spans="1:2" ht="15">
      <c r="A853" s="252">
        <v>1267</v>
      </c>
      <c r="B853" s="276" t="s">
        <v>1385</v>
      </c>
    </row>
    <row r="854" spans="1:2" ht="15">
      <c r="A854" s="252">
        <v>1268</v>
      </c>
      <c r="B854" s="278" t="s">
        <v>1386</v>
      </c>
    </row>
    <row r="855" spans="1:2" ht="15">
      <c r="A855" s="252">
        <v>1269</v>
      </c>
      <c r="B855" s="247" t="s">
        <v>1387</v>
      </c>
    </row>
    <row r="856" spans="1:2" ht="22.5">
      <c r="A856" s="252">
        <v>1270</v>
      </c>
      <c r="B856" s="243" t="s">
        <v>1388</v>
      </c>
    </row>
    <row r="857" spans="1:2" ht="15">
      <c r="A857" s="252">
        <v>1271</v>
      </c>
      <c r="B857" s="287" t="s">
        <v>1389</v>
      </c>
    </row>
    <row r="858" spans="1:2" ht="30">
      <c r="A858" s="252">
        <v>1272</v>
      </c>
      <c r="B858" s="269" t="s">
        <v>1390</v>
      </c>
    </row>
    <row r="859" spans="1:2" ht="22.5">
      <c r="A859" s="252">
        <v>1273</v>
      </c>
      <c r="B859" s="243" t="s">
        <v>1391</v>
      </c>
    </row>
    <row r="860" spans="1:2" ht="22.5">
      <c r="A860" s="252">
        <v>1274</v>
      </c>
      <c r="B860" s="243" t="s">
        <v>1392</v>
      </c>
    </row>
    <row r="861" spans="1:2" ht="15">
      <c r="A861" s="252">
        <v>1276</v>
      </c>
      <c r="B861" s="247" t="s">
        <v>1393</v>
      </c>
    </row>
    <row r="862" spans="1:2" ht="15">
      <c r="A862" s="252">
        <v>1278</v>
      </c>
      <c r="B862" s="250" t="s">
        <v>1394</v>
      </c>
    </row>
    <row r="863" spans="1:2" ht="25.5">
      <c r="A863" s="252">
        <v>1279</v>
      </c>
      <c r="B863" s="282" t="s">
        <v>1395</v>
      </c>
    </row>
    <row r="864" spans="1:2" ht="25.5">
      <c r="A864" s="252">
        <v>1280</v>
      </c>
      <c r="B864" s="247" t="s">
        <v>1396</v>
      </c>
    </row>
    <row r="865" spans="1:2" ht="15">
      <c r="A865" s="252">
        <v>1281</v>
      </c>
      <c r="B865" s="243" t="s">
        <v>1397</v>
      </c>
    </row>
    <row r="866" spans="1:2" ht="15.75">
      <c r="A866" s="252">
        <v>1282</v>
      </c>
      <c r="B866" s="249" t="s">
        <v>1398</v>
      </c>
    </row>
    <row r="867" spans="1:2" ht="30">
      <c r="A867" s="252">
        <v>1283</v>
      </c>
      <c r="B867" s="269" t="s">
        <v>1399</v>
      </c>
    </row>
    <row r="868" spans="1:2" ht="22.5">
      <c r="A868" s="252">
        <v>1284</v>
      </c>
      <c r="B868" s="243" t="s">
        <v>1400</v>
      </c>
    </row>
    <row r="869" spans="1:2" ht="22.5">
      <c r="A869" s="252">
        <v>1285</v>
      </c>
      <c r="B869" s="243" t="s">
        <v>1401</v>
      </c>
    </row>
    <row r="870" spans="1:2" ht="15">
      <c r="A870" s="252">
        <v>1286</v>
      </c>
      <c r="B870" s="243" t="s">
        <v>1402</v>
      </c>
    </row>
    <row r="871" spans="1:2" ht="15">
      <c r="A871" s="252">
        <v>1287</v>
      </c>
      <c r="B871" s="276" t="s">
        <v>1297</v>
      </c>
    </row>
    <row r="872" spans="1:2" ht="15">
      <c r="A872" s="252">
        <v>1288</v>
      </c>
      <c r="B872" s="247" t="s">
        <v>1403</v>
      </c>
    </row>
    <row r="873" spans="1:2" ht="22.5">
      <c r="A873" s="252">
        <v>1289</v>
      </c>
      <c r="B873" s="243" t="s">
        <v>1404</v>
      </c>
    </row>
    <row r="874" spans="1:2" ht="21">
      <c r="A874" s="252">
        <v>1290</v>
      </c>
      <c r="B874" s="244" t="s">
        <v>1342</v>
      </c>
    </row>
    <row r="875" spans="1:2" ht="21">
      <c r="A875" s="252">
        <v>1291</v>
      </c>
      <c r="B875" s="244" t="s">
        <v>1405</v>
      </c>
    </row>
    <row r="876" spans="1:2" ht="15">
      <c r="A876" s="252">
        <v>1292</v>
      </c>
      <c r="B876" s="287" t="s">
        <v>1406</v>
      </c>
    </row>
    <row r="877" spans="1:2" ht="30">
      <c r="A877" s="252">
        <v>1293</v>
      </c>
      <c r="B877" s="269" t="s">
        <v>1407</v>
      </c>
    </row>
    <row r="878" spans="1:2" ht="22.5">
      <c r="A878" s="252">
        <v>1294</v>
      </c>
      <c r="B878" s="243" t="s">
        <v>1408</v>
      </c>
    </row>
    <row r="879" spans="1:2" ht="15">
      <c r="A879" s="252">
        <v>1295</v>
      </c>
      <c r="B879" s="244" t="s">
        <v>1409</v>
      </c>
    </row>
    <row r="880" spans="1:2" ht="15">
      <c r="A880" s="252">
        <v>1296</v>
      </c>
      <c r="B880" s="247" t="s">
        <v>1410</v>
      </c>
    </row>
    <row r="881" spans="1:2" ht="22.5">
      <c r="A881" s="252">
        <v>1297</v>
      </c>
      <c r="B881" s="243" t="s">
        <v>1411</v>
      </c>
    </row>
    <row r="882" spans="1:2" ht="21">
      <c r="A882" s="252">
        <v>1298</v>
      </c>
      <c r="B882" s="244" t="s">
        <v>1412</v>
      </c>
    </row>
    <row r="883" spans="1:2" ht="15">
      <c r="A883" s="252">
        <v>1299</v>
      </c>
      <c r="B883" s="287" t="s">
        <v>1413</v>
      </c>
    </row>
    <row r="884" spans="1:2" ht="15">
      <c r="A884" s="252">
        <v>1300</v>
      </c>
      <c r="B884" s="247" t="s">
        <v>1414</v>
      </c>
    </row>
    <row r="885" spans="1:2" ht="22.5">
      <c r="A885" s="252">
        <v>1301</v>
      </c>
      <c r="B885" s="243" t="s">
        <v>1415</v>
      </c>
    </row>
    <row r="886" spans="1:2" ht="15">
      <c r="A886" s="252">
        <v>1302</v>
      </c>
      <c r="B886" s="243" t="s">
        <v>1416</v>
      </c>
    </row>
    <row r="887" spans="1:2" ht="15">
      <c r="A887" s="252">
        <v>1303</v>
      </c>
      <c r="B887" s="287" t="s">
        <v>1417</v>
      </c>
    </row>
    <row r="888" spans="1:2" ht="25.5">
      <c r="A888" s="252">
        <v>1304</v>
      </c>
      <c r="B888" s="247" t="s">
        <v>1418</v>
      </c>
    </row>
    <row r="889" spans="1:2" ht="22.5">
      <c r="A889" s="252">
        <v>1305</v>
      </c>
      <c r="B889" s="243" t="s">
        <v>1419</v>
      </c>
    </row>
    <row r="890" spans="1:2" ht="15">
      <c r="A890" s="252">
        <v>1306</v>
      </c>
      <c r="B890" s="243" t="s">
        <v>1420</v>
      </c>
    </row>
    <row r="891" spans="1:2" ht="15">
      <c r="A891" s="252">
        <v>1307</v>
      </c>
      <c r="B891" s="287" t="s">
        <v>1421</v>
      </c>
    </row>
    <row r="892" spans="1:2" ht="30">
      <c r="A892" s="252">
        <v>1308</v>
      </c>
      <c r="B892" s="269" t="s">
        <v>1422</v>
      </c>
    </row>
    <row r="893" spans="1:2" ht="22.5">
      <c r="A893" s="252">
        <v>1309</v>
      </c>
      <c r="B893" s="243" t="s">
        <v>1423</v>
      </c>
    </row>
    <row r="894" spans="1:2" ht="15">
      <c r="A894" s="252">
        <v>1310</v>
      </c>
      <c r="B894" s="244" t="s">
        <v>1409</v>
      </c>
    </row>
    <row r="895" spans="1:2" ht="15">
      <c r="A895" s="252">
        <v>1311</v>
      </c>
      <c r="B895" s="247" t="s">
        <v>1424</v>
      </c>
    </row>
    <row r="896" spans="1:2" ht="22.5">
      <c r="A896" s="252">
        <v>1312</v>
      </c>
      <c r="B896" s="243" t="s">
        <v>1425</v>
      </c>
    </row>
    <row r="897" spans="1:2" ht="15">
      <c r="A897" s="252">
        <v>1313</v>
      </c>
      <c r="B897" s="287" t="s">
        <v>1426</v>
      </c>
    </row>
    <row r="898" spans="1:2" ht="15">
      <c r="A898" s="252">
        <v>1314</v>
      </c>
      <c r="B898" s="243" t="s">
        <v>1427</v>
      </c>
    </row>
    <row r="899" spans="1:2" ht="25.5">
      <c r="A899" s="252">
        <v>1315</v>
      </c>
      <c r="B899" s="247" t="s">
        <v>1428</v>
      </c>
    </row>
    <row r="900" spans="1:2" ht="22.5">
      <c r="A900" s="252">
        <v>1316</v>
      </c>
      <c r="B900" s="243" t="s">
        <v>1429</v>
      </c>
    </row>
    <row r="901" spans="1:2" ht="15">
      <c r="A901" s="252">
        <v>1317</v>
      </c>
      <c r="B901" s="287" t="s">
        <v>1430</v>
      </c>
    </row>
    <row r="902" spans="1:2" ht="15.75">
      <c r="A902" s="252">
        <v>1318</v>
      </c>
      <c r="B902" s="249" t="s">
        <v>765</v>
      </c>
    </row>
    <row r="903" spans="1:2" ht="30">
      <c r="A903" s="252">
        <v>1319</v>
      </c>
      <c r="B903" s="269" t="s">
        <v>1431</v>
      </c>
    </row>
    <row r="904" spans="1:2" ht="22.5">
      <c r="A904" s="252">
        <v>1320</v>
      </c>
      <c r="B904" s="243" t="s">
        <v>1432</v>
      </c>
    </row>
    <row r="905" spans="1:2" ht="15">
      <c r="A905" s="252">
        <v>1321</v>
      </c>
      <c r="B905" s="247" t="s">
        <v>1433</v>
      </c>
    </row>
    <row r="906" spans="1:2" ht="22.5">
      <c r="A906" s="252">
        <v>1322</v>
      </c>
      <c r="B906" s="243" t="s">
        <v>1434</v>
      </c>
    </row>
    <row r="907" spans="1:2" ht="22.5">
      <c r="A907" s="252">
        <v>1323</v>
      </c>
      <c r="B907" s="243" t="s">
        <v>1435</v>
      </c>
    </row>
    <row r="908" spans="1:2" ht="15">
      <c r="A908" s="252">
        <v>1324</v>
      </c>
      <c r="B908" s="275" t="s">
        <v>1436</v>
      </c>
    </row>
    <row r="909" spans="1:2" ht="15">
      <c r="A909" s="252">
        <v>1325</v>
      </c>
      <c r="B909" s="276" t="s">
        <v>1437</v>
      </c>
    </row>
    <row r="910" spans="1:2" ht="15">
      <c r="A910" s="252">
        <v>1326</v>
      </c>
      <c r="B910" s="276" t="s">
        <v>1438</v>
      </c>
    </row>
    <row r="911" spans="1:2" ht="15">
      <c r="A911" s="252">
        <v>1327</v>
      </c>
      <c r="B911" s="278" t="s">
        <v>1439</v>
      </c>
    </row>
    <row r="912" spans="1:2" ht="15">
      <c r="A912" s="252">
        <v>1328</v>
      </c>
      <c r="B912" s="287" t="s">
        <v>1440</v>
      </c>
    </row>
    <row r="913" spans="1:2" ht="25.5">
      <c r="A913" s="252">
        <v>1329</v>
      </c>
      <c r="B913" s="247" t="s">
        <v>1441</v>
      </c>
    </row>
    <row r="914" spans="1:2" ht="22.5">
      <c r="A914" s="252">
        <v>1330</v>
      </c>
      <c r="B914" s="243" t="s">
        <v>1442</v>
      </c>
    </row>
    <row r="915" spans="1:2" ht="15">
      <c r="A915" s="252">
        <v>1331</v>
      </c>
      <c r="B915" s="287" t="s">
        <v>1443</v>
      </c>
    </row>
    <row r="916" spans="1:2" ht="15.75">
      <c r="A916" s="252">
        <v>1332</v>
      </c>
      <c r="B916" s="249" t="s">
        <v>766</v>
      </c>
    </row>
    <row r="917" spans="1:2" ht="30">
      <c r="A917" s="252">
        <v>1333</v>
      </c>
      <c r="B917" s="269" t="s">
        <v>1444</v>
      </c>
    </row>
    <row r="918" spans="1:2" ht="22.5">
      <c r="A918" s="252">
        <v>1334</v>
      </c>
      <c r="B918" s="243" t="s">
        <v>1445</v>
      </c>
    </row>
    <row r="919" spans="1:2" ht="15">
      <c r="A919" s="252">
        <v>1335</v>
      </c>
      <c r="B919" s="243" t="s">
        <v>1446</v>
      </c>
    </row>
    <row r="920" spans="1:2" ht="22.5">
      <c r="A920" s="252">
        <v>1336</v>
      </c>
      <c r="B920" s="243" t="s">
        <v>1447</v>
      </c>
    </row>
    <row r="921" spans="1:2" ht="22.5">
      <c r="A921" s="252">
        <v>1337</v>
      </c>
      <c r="B921" s="243" t="s">
        <v>1448</v>
      </c>
    </row>
    <row r="922" spans="1:2" ht="22.5">
      <c r="A922" s="252">
        <v>1338</v>
      </c>
      <c r="B922" s="243" t="s">
        <v>1449</v>
      </c>
    </row>
    <row r="923" spans="1:2" ht="15">
      <c r="A923" s="252">
        <v>1339</v>
      </c>
      <c r="B923" s="247" t="s">
        <v>1450</v>
      </c>
    </row>
    <row r="924" spans="1:2" ht="15">
      <c r="A924" s="252">
        <v>1340</v>
      </c>
      <c r="B924" s="243" t="s">
        <v>1451</v>
      </c>
    </row>
    <row r="925" spans="1:2" ht="15.75" thickBot="1">
      <c r="A925" s="252">
        <v>1343</v>
      </c>
      <c r="B925" s="278" t="s">
        <v>1452</v>
      </c>
    </row>
    <row r="926" spans="1:2" ht="25.5">
      <c r="A926" s="252">
        <v>1344</v>
      </c>
      <c r="B926" s="264" t="s">
        <v>1453</v>
      </c>
    </row>
    <row r="927" spans="1:2" ht="18">
      <c r="A927" s="252">
        <v>1345</v>
      </c>
      <c r="B927" s="608" t="s">
        <v>1454</v>
      </c>
    </row>
    <row r="928" spans="1:2" ht="16.5" thickBot="1">
      <c r="A928" s="252">
        <v>1346</v>
      </c>
      <c r="B928" s="12" t="s">
        <v>1455</v>
      </c>
    </row>
    <row r="929" spans="1:2" ht="25.5">
      <c r="A929" s="252">
        <v>1347</v>
      </c>
      <c r="B929" s="264" t="s">
        <v>1456</v>
      </c>
    </row>
    <row r="930" spans="1:2" ht="36">
      <c r="A930" s="252">
        <v>1348</v>
      </c>
      <c r="B930" s="259" t="s">
        <v>1457</v>
      </c>
    </row>
    <row r="931" spans="1:2" ht="15.75">
      <c r="A931" s="252">
        <v>1349</v>
      </c>
      <c r="B931" s="249" t="s">
        <v>1458</v>
      </c>
    </row>
    <row r="932" spans="1:2" ht="30">
      <c r="A932" s="252">
        <v>1350</v>
      </c>
      <c r="B932" s="269" t="s">
        <v>1459</v>
      </c>
    </row>
    <row r="933" spans="1:2" ht="22.5">
      <c r="A933" s="252">
        <v>1351</v>
      </c>
      <c r="B933" s="243" t="s">
        <v>1460</v>
      </c>
    </row>
    <row r="934" spans="1:2" ht="15">
      <c r="A934" s="252">
        <v>1352</v>
      </c>
      <c r="B934" s="243" t="s">
        <v>1461</v>
      </c>
    </row>
    <row r="935" spans="1:2" ht="22.5">
      <c r="A935" s="252">
        <v>1353</v>
      </c>
      <c r="B935" s="243" t="s">
        <v>1462</v>
      </c>
    </row>
    <row r="936" spans="1:2" ht="22.5">
      <c r="A936" s="252">
        <v>1354</v>
      </c>
      <c r="B936" s="243" t="s">
        <v>1463</v>
      </c>
    </row>
    <row r="937" spans="1:2" ht="22.5">
      <c r="A937" s="252">
        <v>1355</v>
      </c>
      <c r="B937" s="243" t="s">
        <v>1464</v>
      </c>
    </row>
    <row r="938" spans="1:2" ht="22.5">
      <c r="A938" s="252">
        <v>1357</v>
      </c>
      <c r="B938" s="303" t="s">
        <v>1465</v>
      </c>
    </row>
    <row r="939" spans="1:2" ht="15">
      <c r="A939" s="252">
        <v>1358</v>
      </c>
      <c r="B939" s="250" t="s">
        <v>1466</v>
      </c>
    </row>
    <row r="940" spans="1:2" ht="15">
      <c r="A940" s="252">
        <v>1359</v>
      </c>
      <c r="B940" s="302" t="s">
        <v>1467</v>
      </c>
    </row>
    <row r="941" spans="1:2" ht="15.75">
      <c r="A941" s="252">
        <v>1361</v>
      </c>
      <c r="B941" s="249" t="s">
        <v>1468</v>
      </c>
    </row>
    <row r="942" spans="1:2" ht="45.75" thickBot="1">
      <c r="A942" s="252">
        <v>1362</v>
      </c>
      <c r="B942" s="251" t="s">
        <v>1469</v>
      </c>
    </row>
    <row r="943" spans="1:2" ht="26.25" thickBot="1">
      <c r="A943" s="252">
        <v>1363</v>
      </c>
      <c r="B943" s="264" t="s">
        <v>1470</v>
      </c>
    </row>
    <row r="944" spans="1:2" ht="15.75" thickBot="1">
      <c r="A944" s="252">
        <v>1364</v>
      </c>
      <c r="B944" s="265" t="s">
        <v>1471</v>
      </c>
    </row>
    <row r="945" spans="1:2" ht="15.75" thickBot="1">
      <c r="A945" s="252">
        <v>1366</v>
      </c>
      <c r="B945" s="266" t="s">
        <v>1472</v>
      </c>
    </row>
    <row r="946" spans="1:2" ht="15">
      <c r="A946" s="252">
        <v>1367</v>
      </c>
      <c r="B946" s="266" t="s">
        <v>1473</v>
      </c>
    </row>
    <row r="947" spans="1:2" ht="15">
      <c r="A947" s="252">
        <v>1368</v>
      </c>
      <c r="B947" s="267" t="s">
        <v>1474</v>
      </c>
    </row>
    <row r="948" spans="1:2" ht="18">
      <c r="A948" s="252">
        <v>1370</v>
      </c>
      <c r="B948" s="608" t="s">
        <v>1475</v>
      </c>
    </row>
    <row r="949" spans="1:2" ht="15">
      <c r="A949" s="252">
        <v>1372</v>
      </c>
      <c r="B949" s="594" t="s">
        <v>1476</v>
      </c>
    </row>
    <row r="950" spans="1:2" ht="15">
      <c r="A950" s="252">
        <v>1373</v>
      </c>
      <c r="B950" s="594" t="s">
        <v>1477</v>
      </c>
    </row>
    <row r="951" spans="1:2" ht="15">
      <c r="A951" s="252">
        <v>1374</v>
      </c>
      <c r="B951" s="304" t="s">
        <v>1478</v>
      </c>
    </row>
    <row r="952" spans="1:2" ht="15">
      <c r="A952" s="252">
        <v>1375</v>
      </c>
      <c r="B952" s="594" t="s">
        <v>1479</v>
      </c>
    </row>
    <row r="953" spans="1:2" ht="15">
      <c r="A953" s="252">
        <v>1377</v>
      </c>
      <c r="B953" s="304" t="s">
        <v>1480</v>
      </c>
    </row>
    <row r="954" spans="1:2" ht="15">
      <c r="A954" s="252">
        <v>1379</v>
      </c>
      <c r="B954" s="594" t="s">
        <v>1481</v>
      </c>
    </row>
    <row r="955" spans="1:2" ht="15">
      <c r="A955" s="252">
        <v>1380</v>
      </c>
      <c r="B955" s="594" t="s">
        <v>1482</v>
      </c>
    </row>
    <row r="956" spans="1:2" ht="15">
      <c r="A956" s="252">
        <v>1381</v>
      </c>
      <c r="B956" s="304" t="s">
        <v>1483</v>
      </c>
    </row>
    <row r="957" spans="1:2" ht="15">
      <c r="A957" s="252">
        <v>1382</v>
      </c>
      <c r="B957" s="594" t="s">
        <v>1484</v>
      </c>
    </row>
    <row r="958" spans="1:2" ht="15">
      <c r="A958" s="252">
        <v>1384</v>
      </c>
      <c r="B958" s="544" t="s">
        <v>1485</v>
      </c>
    </row>
    <row r="959" spans="1:2" ht="15">
      <c r="A959" s="252">
        <v>1385</v>
      </c>
      <c r="B959" s="544" t="s">
        <v>1486</v>
      </c>
    </row>
    <row r="960" spans="1:2" ht="15">
      <c r="A960" s="252">
        <v>1386</v>
      </c>
      <c r="B960" s="544" t="s">
        <v>1487</v>
      </c>
    </row>
    <row r="961" spans="1:2" ht="15">
      <c r="A961" s="252">
        <v>1388</v>
      </c>
      <c r="B961" s="269" t="s">
        <v>1488</v>
      </c>
    </row>
    <row r="962" spans="1:2" ht="15">
      <c r="A962" s="252">
        <v>1389</v>
      </c>
      <c r="B962" s="305" t="s">
        <v>1489</v>
      </c>
    </row>
    <row r="963" spans="1:2" ht="15">
      <c r="A963" s="252">
        <v>1390</v>
      </c>
      <c r="B963" s="305" t="s">
        <v>1490</v>
      </c>
    </row>
    <row r="964" spans="1:2" ht="15">
      <c r="A964" s="252">
        <v>1391</v>
      </c>
      <c r="B964" s="305" t="s">
        <v>1491</v>
      </c>
    </row>
    <row r="965" spans="1:2" ht="15">
      <c r="A965" s="252">
        <v>1392</v>
      </c>
      <c r="B965" s="305" t="s">
        <v>1492</v>
      </c>
    </row>
    <row r="966" spans="1:2" ht="25.5">
      <c r="A966" s="252">
        <v>1393</v>
      </c>
      <c r="B966" s="274" t="s">
        <v>1493</v>
      </c>
    </row>
    <row r="967" spans="1:2" ht="15">
      <c r="A967" s="252">
        <v>1394</v>
      </c>
      <c r="B967" s="306" t="s">
        <v>1494</v>
      </c>
    </row>
    <row r="968" spans="1:2" ht="15">
      <c r="A968" s="252">
        <v>1395</v>
      </c>
      <c r="B968" s="307" t="s">
        <v>1495</v>
      </c>
    </row>
    <row r="969" spans="1:2" ht="15">
      <c r="A969" s="252">
        <v>1396</v>
      </c>
      <c r="B969" s="307" t="s">
        <v>1496</v>
      </c>
    </row>
    <row r="970" spans="1:2" ht="15">
      <c r="A970" s="252">
        <v>1397</v>
      </c>
      <c r="B970" s="308" t="s">
        <v>1497</v>
      </c>
    </row>
    <row r="971" spans="1:2" ht="22.5">
      <c r="A971" s="252">
        <v>1398</v>
      </c>
      <c r="B971" s="307" t="s">
        <v>1498</v>
      </c>
    </row>
    <row r="972" spans="1:2" ht="22.5">
      <c r="A972" s="252">
        <v>1399</v>
      </c>
      <c r="B972" s="307" t="s">
        <v>1499</v>
      </c>
    </row>
    <row r="973" spans="1:2" ht="21">
      <c r="A973" s="252">
        <v>1400</v>
      </c>
      <c r="B973" s="309" t="s">
        <v>1500</v>
      </c>
    </row>
    <row r="974" spans="1:2" ht="15">
      <c r="A974" s="252">
        <v>1403</v>
      </c>
      <c r="B974" s="101" t="s">
        <v>1501</v>
      </c>
    </row>
    <row r="975" spans="1:2" ht="15.75">
      <c r="A975" s="252">
        <v>1405</v>
      </c>
      <c r="B975" s="12" t="s">
        <v>1472</v>
      </c>
    </row>
    <row r="976" spans="1:2" ht="30">
      <c r="A976" s="252">
        <v>1406</v>
      </c>
      <c r="B976" s="269" t="s">
        <v>1502</v>
      </c>
    </row>
    <row r="977" spans="1:2" ht="15">
      <c r="A977" s="252">
        <v>1407</v>
      </c>
      <c r="B977" s="269" t="s">
        <v>1503</v>
      </c>
    </row>
    <row r="978" spans="1:2" ht="30">
      <c r="A978" s="252">
        <v>1408</v>
      </c>
      <c r="B978" s="269" t="s">
        <v>1504</v>
      </c>
    </row>
    <row r="979" spans="1:2" ht="15">
      <c r="A979" s="252">
        <v>1409</v>
      </c>
      <c r="B979" s="287" t="s">
        <v>1505</v>
      </c>
    </row>
    <row r="980" spans="1:2" ht="15">
      <c r="A980" s="252">
        <v>1410</v>
      </c>
      <c r="B980" s="598" t="s">
        <v>1506</v>
      </c>
    </row>
    <row r="981" spans="1:2" ht="30">
      <c r="A981" s="252">
        <v>1411</v>
      </c>
      <c r="B981" s="269" t="s">
        <v>1507</v>
      </c>
    </row>
    <row r="982" spans="1:2" ht="15">
      <c r="A982" s="252">
        <v>1412</v>
      </c>
      <c r="B982" s="269" t="s">
        <v>1508</v>
      </c>
    </row>
    <row r="983" spans="1:2" ht="25.5">
      <c r="A983" s="252">
        <v>1413</v>
      </c>
      <c r="B983" s="287" t="s">
        <v>1509</v>
      </c>
    </row>
    <row r="984" spans="1:2" ht="15">
      <c r="A984" s="252">
        <v>1414</v>
      </c>
      <c r="B984" s="609" t="s">
        <v>1510</v>
      </c>
    </row>
    <row r="985" spans="1:2" ht="15.75">
      <c r="A985" s="252">
        <v>1421</v>
      </c>
      <c r="B985" s="12" t="s">
        <v>1511</v>
      </c>
    </row>
    <row r="986" spans="1:2" ht="45">
      <c r="A986" s="252">
        <v>1422</v>
      </c>
      <c r="B986" s="243" t="s">
        <v>1512</v>
      </c>
    </row>
    <row r="987" spans="1:2" ht="15">
      <c r="A987" s="252">
        <v>1423</v>
      </c>
      <c r="B987" s="310" t="s">
        <v>1513</v>
      </c>
    </row>
    <row r="988" spans="1:2" ht="15">
      <c r="A988" s="252">
        <v>1424</v>
      </c>
      <c r="B988" s="610" t="s">
        <v>1514</v>
      </c>
    </row>
    <row r="989" spans="1:2" ht="33.75">
      <c r="A989" s="252">
        <v>1425</v>
      </c>
      <c r="B989" s="311" t="s">
        <v>1515</v>
      </c>
    </row>
    <row r="990" spans="1:2" ht="15">
      <c r="A990" s="252">
        <v>1426</v>
      </c>
      <c r="B990" s="610" t="s">
        <v>1516</v>
      </c>
    </row>
    <row r="991" spans="1:2" ht="15">
      <c r="A991" s="252">
        <v>1427</v>
      </c>
      <c r="B991" s="311" t="s">
        <v>1517</v>
      </c>
    </row>
    <row r="992" spans="1:2" ht="15">
      <c r="A992" s="252">
        <v>1428</v>
      </c>
      <c r="B992" s="610" t="s">
        <v>1518</v>
      </c>
    </row>
    <row r="993" spans="1:2" ht="15">
      <c r="A993" s="252">
        <v>1429</v>
      </c>
      <c r="B993" s="311" t="s">
        <v>1519</v>
      </c>
    </row>
    <row r="994" spans="1:2" ht="15">
      <c r="A994" s="252">
        <v>1432</v>
      </c>
      <c r="B994" s="311" t="s">
        <v>1520</v>
      </c>
    </row>
    <row r="995" spans="1:2" ht="33.75">
      <c r="A995" s="252">
        <v>1442</v>
      </c>
      <c r="B995" s="311" t="s">
        <v>1521</v>
      </c>
    </row>
    <row r="996" spans="1:2" ht="22.5">
      <c r="A996" s="252">
        <v>1443</v>
      </c>
      <c r="B996" s="311" t="s">
        <v>1522</v>
      </c>
    </row>
    <row r="997" spans="1:2" ht="15">
      <c r="A997" s="252">
        <v>1444</v>
      </c>
      <c r="B997" s="610" t="s">
        <v>1523</v>
      </c>
    </row>
    <row r="998" spans="1:2" ht="22.5">
      <c r="A998" s="252">
        <v>1445</v>
      </c>
      <c r="B998" s="311" t="s">
        <v>1524</v>
      </c>
    </row>
    <row r="999" spans="1:2" ht="22.5">
      <c r="A999" s="252">
        <v>1446</v>
      </c>
      <c r="B999" s="311" t="s">
        <v>1525</v>
      </c>
    </row>
    <row r="1000" spans="1:2" ht="22.5">
      <c r="A1000" s="252">
        <v>1447</v>
      </c>
      <c r="B1000" s="311" t="s">
        <v>1526</v>
      </c>
    </row>
    <row r="1001" spans="1:2" ht="15">
      <c r="A1001" s="252">
        <v>1451</v>
      </c>
      <c r="B1001" s="611" t="s">
        <v>1527</v>
      </c>
    </row>
    <row r="1002" spans="1:2" ht="15">
      <c r="A1002" s="252">
        <v>1452</v>
      </c>
      <c r="B1002" s="612" t="s">
        <v>1528</v>
      </c>
    </row>
    <row r="1003" spans="1:2" ht="15">
      <c r="A1003" s="252">
        <v>1453</v>
      </c>
      <c r="B1003" s="613" t="s">
        <v>1529</v>
      </c>
    </row>
    <row r="1004" spans="1:2" ht="15.75" thickBot="1">
      <c r="A1004" s="252">
        <v>1472</v>
      </c>
      <c r="B1004" s="611" t="s">
        <v>1530</v>
      </c>
    </row>
    <row r="1005" spans="1:2" ht="15.75" thickBot="1">
      <c r="A1005" s="252">
        <v>1475</v>
      </c>
      <c r="B1005" s="614" t="s">
        <v>1531</v>
      </c>
    </row>
    <row r="1006" spans="1:2" ht="15">
      <c r="A1006" s="252">
        <v>1477</v>
      </c>
      <c r="B1006" s="609" t="s">
        <v>1532</v>
      </c>
    </row>
    <row r="1007" spans="1:2" ht="15.75" thickBot="1">
      <c r="A1007" s="252">
        <v>1479</v>
      </c>
      <c r="B1007" s="611" t="s">
        <v>1533</v>
      </c>
    </row>
    <row r="1008" spans="1:2" ht="39" thickBot="1">
      <c r="A1008" s="252">
        <v>1486</v>
      </c>
      <c r="B1008" s="312" t="s">
        <v>1534</v>
      </c>
    </row>
    <row r="1009" spans="1:2" ht="15">
      <c r="A1009" s="252">
        <v>1505</v>
      </c>
      <c r="B1009" s="239" t="s">
        <v>1535</v>
      </c>
    </row>
    <row r="1010" spans="1:2" ht="15">
      <c r="A1010" s="384">
        <v>1506</v>
      </c>
      <c r="B1010" s="155" t="s">
        <v>1536</v>
      </c>
    </row>
    <row r="1011" spans="1:2" ht="15">
      <c r="A1011" s="384">
        <v>1507</v>
      </c>
      <c r="B1011" s="318" t="s">
        <v>1537</v>
      </c>
    </row>
    <row r="1012" spans="1:2" ht="15">
      <c r="A1012" s="384">
        <v>1508</v>
      </c>
      <c r="B1012" s="318" t="s">
        <v>1538</v>
      </c>
    </row>
    <row r="1013" spans="1:11" s="382" customFormat="1" ht="15.75" thickBot="1">
      <c r="A1013" s="384" t="s">
        <v>53</v>
      </c>
      <c r="B1013" s="615"/>
      <c r="C1013" s="155"/>
      <c r="D1013" s="385"/>
      <c r="E1013" s="385"/>
      <c r="F1013" s="385"/>
      <c r="G1013" s="385"/>
      <c r="H1013" s="385"/>
      <c r="I1013" s="385"/>
      <c r="J1013" s="385"/>
      <c r="K1013" s="385"/>
    </row>
    <row r="1014" spans="1:2" ht="79.5" thickBot="1">
      <c r="A1014" s="383">
        <v>2000</v>
      </c>
      <c r="B1014" s="616" t="s">
        <v>1539</v>
      </c>
    </row>
    <row r="1015" spans="1:2" ht="64.5" thickBot="1">
      <c r="A1015" s="383">
        <v>2001</v>
      </c>
      <c r="B1015" s="617" t="s">
        <v>1540</v>
      </c>
    </row>
    <row r="1016" spans="1:2" ht="39" thickBot="1">
      <c r="A1016" s="383">
        <v>2002</v>
      </c>
      <c r="B1016" s="617" t="s">
        <v>1541</v>
      </c>
    </row>
    <row r="1017" spans="1:2" ht="15.75" thickBot="1">
      <c r="A1017" s="383">
        <v>2003</v>
      </c>
      <c r="B1017" s="618" t="s">
        <v>1542</v>
      </c>
    </row>
    <row r="1018" spans="1:2" ht="51.75" thickBot="1">
      <c r="A1018" s="383">
        <v>2004</v>
      </c>
      <c r="B1018" s="617" t="s">
        <v>1543</v>
      </c>
    </row>
    <row r="1019" spans="1:2" ht="39" thickBot="1">
      <c r="A1019" s="383">
        <v>2005</v>
      </c>
      <c r="B1019" s="617" t="s">
        <v>1544</v>
      </c>
    </row>
    <row r="1020" spans="1:2" ht="90" thickBot="1">
      <c r="A1020" s="383">
        <v>2006</v>
      </c>
      <c r="B1020" s="617" t="s">
        <v>1545</v>
      </c>
    </row>
    <row r="1021" spans="1:2" ht="51.75" thickBot="1">
      <c r="A1021" s="383">
        <v>2007</v>
      </c>
      <c r="B1021" s="617" t="s">
        <v>1546</v>
      </c>
    </row>
    <row r="1022" spans="1:2" ht="36.75" thickBot="1">
      <c r="A1022" s="383">
        <v>2008</v>
      </c>
      <c r="B1022" s="619" t="s">
        <v>1547</v>
      </c>
    </row>
    <row r="1023" spans="1:2" ht="51.75" thickBot="1">
      <c r="A1023" s="383">
        <v>2009</v>
      </c>
      <c r="B1023" s="617" t="s">
        <v>1548</v>
      </c>
    </row>
    <row r="1024" spans="1:2" ht="26.25" thickBot="1">
      <c r="A1024" s="383">
        <v>2010</v>
      </c>
      <c r="B1024" s="620" t="s">
        <v>1549</v>
      </c>
    </row>
    <row r="1025" spans="1:2" ht="15.75" thickBot="1">
      <c r="A1025" s="383">
        <v>2011</v>
      </c>
      <c r="B1025" s="621" t="s">
        <v>477</v>
      </c>
    </row>
    <row r="1026" spans="1:2" ht="15.75" thickBot="1">
      <c r="A1026" s="383">
        <v>2012</v>
      </c>
      <c r="B1026" s="622" t="s">
        <v>1550</v>
      </c>
    </row>
    <row r="1027" spans="1:2" ht="15.75" thickBot="1">
      <c r="A1027" s="383">
        <v>2013</v>
      </c>
      <c r="B1027" s="622" t="s">
        <v>1551</v>
      </c>
    </row>
    <row r="1028" spans="1:2" ht="15.75" thickBot="1">
      <c r="A1028" s="383">
        <v>2014</v>
      </c>
      <c r="B1028" s="622" t="s">
        <v>1552</v>
      </c>
    </row>
    <row r="1029" spans="1:2" ht="15.75" thickBot="1">
      <c r="A1029" s="383">
        <v>2015</v>
      </c>
      <c r="B1029" s="623" t="s">
        <v>1553</v>
      </c>
    </row>
    <row r="1030" spans="1:2" ht="15.75" thickBot="1">
      <c r="A1030" s="383">
        <v>2016</v>
      </c>
      <c r="B1030" s="622" t="s">
        <v>1554</v>
      </c>
    </row>
    <row r="1031" spans="1:2" ht="36.75" thickBot="1">
      <c r="A1031" s="383">
        <v>2017</v>
      </c>
      <c r="B1031" s="624" t="s">
        <v>1555</v>
      </c>
    </row>
    <row r="1032" spans="1:2" ht="34.5" thickBot="1">
      <c r="A1032" s="383">
        <v>2018</v>
      </c>
      <c r="B1032" s="625" t="s">
        <v>1556</v>
      </c>
    </row>
    <row r="1033" spans="1:2" ht="23.25" thickBot="1">
      <c r="A1033" s="383">
        <v>2019</v>
      </c>
      <c r="B1033" s="625" t="s">
        <v>2103</v>
      </c>
    </row>
    <row r="1034" spans="1:2" ht="23.25" thickBot="1">
      <c r="A1034" s="383">
        <v>2020</v>
      </c>
      <c r="B1034" s="625" t="s">
        <v>1557</v>
      </c>
    </row>
    <row r="1035" spans="1:2" ht="34.5" thickBot="1">
      <c r="A1035" s="383">
        <v>2021</v>
      </c>
      <c r="B1035" s="625" t="s">
        <v>1558</v>
      </c>
    </row>
    <row r="1036" spans="1:2" ht="16.5" thickBot="1">
      <c r="A1036" s="383">
        <v>2022</v>
      </c>
      <c r="B1036" s="626" t="s">
        <v>1559</v>
      </c>
    </row>
    <row r="1037" spans="1:2" ht="15.75" thickBot="1">
      <c r="A1037" s="383">
        <v>2023</v>
      </c>
      <c r="B1037" s="627" t="s">
        <v>1560</v>
      </c>
    </row>
    <row r="1038" spans="1:2" ht="15.75" thickBot="1">
      <c r="A1038" s="383">
        <v>2024</v>
      </c>
      <c r="B1038" s="628" t="s">
        <v>1561</v>
      </c>
    </row>
    <row r="1039" spans="1:2" ht="57" thickBot="1">
      <c r="A1039" s="383">
        <v>2025</v>
      </c>
      <c r="B1039" s="625" t="s">
        <v>1562</v>
      </c>
    </row>
    <row r="1040" spans="1:2" ht="15.75" thickBot="1">
      <c r="A1040" s="383">
        <v>2026</v>
      </c>
      <c r="B1040" s="628" t="s">
        <v>1563</v>
      </c>
    </row>
    <row r="1041" spans="1:2" ht="34.5" thickBot="1">
      <c r="A1041" s="383">
        <v>2027</v>
      </c>
      <c r="B1041" s="625" t="s">
        <v>1564</v>
      </c>
    </row>
    <row r="1042" spans="1:2" ht="15.75" thickBot="1">
      <c r="A1042" s="383">
        <v>2028</v>
      </c>
      <c r="B1042" s="629" t="s">
        <v>1565</v>
      </c>
    </row>
    <row r="1043" spans="1:2" ht="15.75" thickBot="1">
      <c r="A1043" s="383">
        <v>2029</v>
      </c>
      <c r="B1043" s="628" t="s">
        <v>1566</v>
      </c>
    </row>
    <row r="1044" spans="1:2" ht="15.75" thickBot="1">
      <c r="A1044" s="383">
        <v>2030</v>
      </c>
      <c r="B1044" s="629" t="s">
        <v>1567</v>
      </c>
    </row>
    <row r="1045" spans="1:2" ht="15.75" thickBot="1">
      <c r="A1045" s="383">
        <v>2031</v>
      </c>
      <c r="B1045" s="625" t="s">
        <v>1568</v>
      </c>
    </row>
    <row r="1046" spans="1:2" ht="34.5" thickBot="1">
      <c r="A1046" s="383">
        <v>2032</v>
      </c>
      <c r="B1046" s="625" t="s">
        <v>1569</v>
      </c>
    </row>
    <row r="1047" spans="1:2" ht="23.25" thickBot="1">
      <c r="A1047" s="383">
        <v>2033</v>
      </c>
      <c r="B1047" s="625" t="s">
        <v>1570</v>
      </c>
    </row>
    <row r="1048" spans="1:2" ht="21.75" thickBot="1">
      <c r="A1048" s="383">
        <v>2034</v>
      </c>
      <c r="B1048" s="629" t="s">
        <v>1571</v>
      </c>
    </row>
    <row r="1049" spans="1:2" ht="15.75" thickBot="1">
      <c r="A1049" s="383">
        <v>2035</v>
      </c>
      <c r="B1049" s="628" t="s">
        <v>1572</v>
      </c>
    </row>
    <row r="1050" spans="1:2" ht="23.25" thickBot="1">
      <c r="A1050" s="383">
        <v>2036</v>
      </c>
      <c r="B1050" s="625" t="s">
        <v>1573</v>
      </c>
    </row>
    <row r="1051" spans="1:2" ht="32.25" thickBot="1">
      <c r="A1051" s="383">
        <v>2037</v>
      </c>
      <c r="B1051" s="629" t="s">
        <v>1574</v>
      </c>
    </row>
    <row r="1052" spans="1:2" ht="21.75" thickBot="1">
      <c r="A1052" s="383">
        <v>2038</v>
      </c>
      <c r="B1052" s="629" t="s">
        <v>1575</v>
      </c>
    </row>
    <row r="1053" spans="1:2" ht="77.25" thickBot="1">
      <c r="A1053" s="383">
        <v>2039</v>
      </c>
      <c r="B1053" s="630" t="s">
        <v>1576</v>
      </c>
    </row>
    <row r="1054" spans="1:2" ht="30.75" thickBot="1">
      <c r="A1054" s="383">
        <v>2040</v>
      </c>
      <c r="B1054" s="627" t="s">
        <v>1577</v>
      </c>
    </row>
    <row r="1055" spans="1:2" ht="45.75" thickBot="1">
      <c r="A1055" s="383">
        <v>2041</v>
      </c>
      <c r="B1055" s="625" t="s">
        <v>1578</v>
      </c>
    </row>
    <row r="1056" spans="1:2" ht="15.75" thickBot="1">
      <c r="A1056" s="383">
        <v>2042</v>
      </c>
      <c r="B1056" s="628" t="s">
        <v>1579</v>
      </c>
    </row>
    <row r="1057" spans="1:2" ht="23.25" thickBot="1">
      <c r="A1057" s="383">
        <v>2043</v>
      </c>
      <c r="B1057" s="625" t="s">
        <v>1580</v>
      </c>
    </row>
    <row r="1058" spans="1:2" ht="23.25" thickBot="1">
      <c r="A1058" s="383">
        <v>2044</v>
      </c>
      <c r="B1058" s="625" t="s">
        <v>1581</v>
      </c>
    </row>
    <row r="1059" spans="1:2" ht="23.25" thickBot="1">
      <c r="A1059" s="383">
        <v>2045</v>
      </c>
      <c r="B1059" s="625" t="s">
        <v>1582</v>
      </c>
    </row>
    <row r="1060" spans="1:2" ht="15.75" thickBot="1">
      <c r="A1060" s="383">
        <v>2046</v>
      </c>
      <c r="B1060" s="625" t="s">
        <v>1583</v>
      </c>
    </row>
    <row r="1061" spans="1:2" ht="15.75" thickBot="1">
      <c r="A1061" s="383">
        <v>2047</v>
      </c>
      <c r="B1061" s="625" t="s">
        <v>1584</v>
      </c>
    </row>
    <row r="1062" spans="1:2" ht="23.25" thickBot="1">
      <c r="A1062" s="383">
        <v>2048</v>
      </c>
      <c r="B1062" s="625" t="s">
        <v>1585</v>
      </c>
    </row>
    <row r="1063" spans="1:2" ht="79.5" thickBot="1">
      <c r="A1063" s="383">
        <v>2049</v>
      </c>
      <c r="B1063" s="625" t="s">
        <v>1586</v>
      </c>
    </row>
    <row r="1064" spans="1:2" ht="34.5" thickBot="1">
      <c r="A1064" s="383">
        <v>2050</v>
      </c>
      <c r="B1064" s="625" t="s">
        <v>1587</v>
      </c>
    </row>
    <row r="1065" spans="1:2" ht="45.75" thickBot="1">
      <c r="A1065" s="383">
        <v>2051</v>
      </c>
      <c r="B1065" s="625" t="s">
        <v>1588</v>
      </c>
    </row>
    <row r="1066" spans="1:2" ht="15.75" thickBot="1">
      <c r="A1066" s="383">
        <v>2052</v>
      </c>
      <c r="B1066" s="628" t="s">
        <v>1589</v>
      </c>
    </row>
    <row r="1067" spans="1:2" ht="15.75" thickBot="1">
      <c r="A1067" s="383">
        <v>2053</v>
      </c>
      <c r="B1067" s="628" t="s">
        <v>1590</v>
      </c>
    </row>
    <row r="1068" spans="1:2" ht="15.75" thickBot="1">
      <c r="A1068" s="383">
        <v>2054</v>
      </c>
      <c r="B1068" s="625" t="s">
        <v>1591</v>
      </c>
    </row>
    <row r="1069" spans="1:2" ht="15.75" thickBot="1">
      <c r="A1069" s="383">
        <v>2055</v>
      </c>
      <c r="B1069" s="628" t="s">
        <v>1592</v>
      </c>
    </row>
    <row r="1070" spans="1:2" ht="23.25" thickBot="1">
      <c r="A1070" s="383">
        <v>2056</v>
      </c>
      <c r="B1070" s="625" t="s">
        <v>1593</v>
      </c>
    </row>
    <row r="1071" spans="1:2" ht="23.25" thickBot="1">
      <c r="A1071" s="383">
        <v>2057</v>
      </c>
      <c r="B1071" s="625" t="s">
        <v>1594</v>
      </c>
    </row>
    <row r="1072" spans="1:2" ht="15.75" thickBot="1">
      <c r="A1072" s="383">
        <v>2058</v>
      </c>
      <c r="B1072" s="620" t="s">
        <v>1595</v>
      </c>
    </row>
    <row r="1073" spans="1:2" ht="23.25" thickBot="1">
      <c r="A1073" s="383">
        <v>2059</v>
      </c>
      <c r="B1073" s="625" t="s">
        <v>1596</v>
      </c>
    </row>
    <row r="1074" spans="1:2" ht="15.75" thickBot="1">
      <c r="A1074" s="383">
        <v>2060</v>
      </c>
      <c r="B1074" s="628" t="s">
        <v>1597</v>
      </c>
    </row>
    <row r="1075" spans="1:2" ht="64.5" thickBot="1">
      <c r="A1075" s="383">
        <v>2061</v>
      </c>
      <c r="B1075" s="630" t="s">
        <v>1598</v>
      </c>
    </row>
    <row r="1076" spans="1:2" ht="39" thickBot="1">
      <c r="A1076" s="383">
        <v>2062</v>
      </c>
      <c r="B1076" s="630" t="s">
        <v>1599</v>
      </c>
    </row>
    <row r="1077" spans="1:2" ht="51.75" thickBot="1">
      <c r="A1077" s="383">
        <v>2063</v>
      </c>
      <c r="B1077" s="630" t="s">
        <v>1600</v>
      </c>
    </row>
    <row r="1078" spans="1:2" ht="32.25" thickBot="1">
      <c r="A1078" s="383">
        <v>2064</v>
      </c>
      <c r="B1078" s="629" t="s">
        <v>1601</v>
      </c>
    </row>
    <row r="1079" spans="1:2" ht="15.75" thickBot="1">
      <c r="A1079" s="383">
        <v>2065</v>
      </c>
      <c r="B1079" s="629" t="s">
        <v>1602</v>
      </c>
    </row>
    <row r="1080" spans="1:2" ht="21.75" thickBot="1">
      <c r="A1080" s="383">
        <v>2066</v>
      </c>
      <c r="B1080" s="629" t="s">
        <v>1603</v>
      </c>
    </row>
    <row r="1081" spans="1:2" ht="21.75" thickBot="1">
      <c r="A1081" s="383">
        <v>2067</v>
      </c>
      <c r="B1081" s="629" t="s">
        <v>1604</v>
      </c>
    </row>
    <row r="1082" spans="1:2" ht="21.75" thickBot="1">
      <c r="A1082" s="383">
        <v>2068</v>
      </c>
      <c r="B1082" s="629" t="s">
        <v>1605</v>
      </c>
    </row>
    <row r="1083" spans="1:2" ht="21.75" thickBot="1">
      <c r="A1083" s="383">
        <v>2069</v>
      </c>
      <c r="B1083" s="629" t="s">
        <v>1606</v>
      </c>
    </row>
    <row r="1084" spans="1:2" ht="15.75" thickBot="1">
      <c r="A1084" s="383">
        <v>2070</v>
      </c>
      <c r="B1084" s="627" t="s">
        <v>1607</v>
      </c>
    </row>
    <row r="1085" spans="1:2" ht="45.75" thickBot="1">
      <c r="A1085" s="383">
        <v>2071</v>
      </c>
      <c r="B1085" s="625" t="s">
        <v>1608</v>
      </c>
    </row>
    <row r="1086" spans="1:2" ht="79.5" thickBot="1">
      <c r="A1086" s="383">
        <v>2072</v>
      </c>
      <c r="B1086" s="625" t="s">
        <v>1609</v>
      </c>
    </row>
    <row r="1087" spans="1:2" ht="21.75" thickBot="1">
      <c r="A1087" s="383">
        <v>2073</v>
      </c>
      <c r="B1087" s="629" t="s">
        <v>1610</v>
      </c>
    </row>
    <row r="1088" spans="1:2" ht="30.75" thickBot="1">
      <c r="A1088" s="383">
        <v>2074</v>
      </c>
      <c r="B1088" s="627" t="s">
        <v>1611</v>
      </c>
    </row>
    <row r="1089" spans="1:2" ht="15.75" thickBot="1">
      <c r="A1089" s="383">
        <v>2075</v>
      </c>
      <c r="B1089" s="625" t="s">
        <v>1612</v>
      </c>
    </row>
    <row r="1090" spans="1:2" ht="23.25" thickBot="1">
      <c r="A1090" s="383">
        <v>2076</v>
      </c>
      <c r="B1090" s="625" t="s">
        <v>1613</v>
      </c>
    </row>
    <row r="1091" spans="1:2" ht="23.25" thickBot="1">
      <c r="A1091" s="383">
        <v>2077</v>
      </c>
      <c r="B1091" s="625" t="s">
        <v>1614</v>
      </c>
    </row>
    <row r="1092" spans="1:2" ht="23.25" thickBot="1">
      <c r="A1092" s="383">
        <v>2078</v>
      </c>
      <c r="B1092" s="625" t="s">
        <v>1615</v>
      </c>
    </row>
    <row r="1093" spans="1:2" ht="21.75" thickBot="1">
      <c r="A1093" s="383">
        <v>2079</v>
      </c>
      <c r="B1093" s="629" t="s">
        <v>1616</v>
      </c>
    </row>
    <row r="1094" spans="1:2" ht="34.5" thickBot="1">
      <c r="A1094" s="383">
        <v>2080</v>
      </c>
      <c r="B1094" s="625" t="s">
        <v>1617</v>
      </c>
    </row>
    <row r="1095" spans="1:2" ht="23.25" thickBot="1">
      <c r="A1095" s="383">
        <v>2081</v>
      </c>
      <c r="B1095" s="625" t="s">
        <v>1618</v>
      </c>
    </row>
    <row r="1096" spans="1:2" ht="15.75" thickBot="1">
      <c r="A1096" s="383">
        <v>2082</v>
      </c>
      <c r="B1096" s="625" t="s">
        <v>1619</v>
      </c>
    </row>
    <row r="1097" spans="1:2" ht="15.75" thickBot="1">
      <c r="A1097" s="383">
        <v>2083</v>
      </c>
      <c r="B1097" s="625" t="s">
        <v>1620</v>
      </c>
    </row>
    <row r="1098" spans="1:2" ht="15.75" thickBot="1">
      <c r="A1098" s="383">
        <v>2084</v>
      </c>
      <c r="B1098" s="625" t="s">
        <v>1621</v>
      </c>
    </row>
    <row r="1099" spans="1:2" ht="15.75" thickBot="1">
      <c r="A1099" s="383">
        <v>2085</v>
      </c>
      <c r="B1099" s="625" t="s">
        <v>1622</v>
      </c>
    </row>
    <row r="1100" spans="1:2" ht="68.25" thickBot="1">
      <c r="A1100" s="383">
        <v>2086</v>
      </c>
      <c r="B1100" s="625" t="s">
        <v>1623</v>
      </c>
    </row>
    <row r="1101" spans="1:2" ht="15.75" thickBot="1">
      <c r="A1101" s="383">
        <v>2087</v>
      </c>
      <c r="B1101" s="631" t="s">
        <v>1624</v>
      </c>
    </row>
    <row r="1102" spans="1:2" ht="15.75" thickBot="1">
      <c r="A1102" s="383">
        <v>2088</v>
      </c>
      <c r="B1102" s="631" t="s">
        <v>1625</v>
      </c>
    </row>
    <row r="1103" spans="1:2" ht="15.75" thickBot="1">
      <c r="A1103" s="383">
        <v>2089</v>
      </c>
      <c r="B1103" s="631" t="s">
        <v>1626</v>
      </c>
    </row>
    <row r="1104" spans="1:2" ht="30.75" thickBot="1">
      <c r="A1104" s="383">
        <v>2090</v>
      </c>
      <c r="B1104" s="627" t="s">
        <v>1627</v>
      </c>
    </row>
    <row r="1105" spans="1:2" ht="34.5" thickBot="1">
      <c r="A1105" s="383">
        <v>2091</v>
      </c>
      <c r="B1105" s="625" t="s">
        <v>1628</v>
      </c>
    </row>
    <row r="1106" spans="1:2" ht="15.75" thickBot="1">
      <c r="A1106" s="383">
        <v>2092</v>
      </c>
      <c r="B1106" s="625" t="s">
        <v>1629</v>
      </c>
    </row>
    <row r="1107" spans="1:2" ht="68.25" thickBot="1">
      <c r="A1107" s="383">
        <v>2093</v>
      </c>
      <c r="B1107" s="625" t="s">
        <v>1630</v>
      </c>
    </row>
    <row r="1108" spans="1:2" ht="23.25" thickBot="1">
      <c r="A1108" s="383">
        <v>2094</v>
      </c>
      <c r="B1108" s="625" t="s">
        <v>1631</v>
      </c>
    </row>
    <row r="1109" spans="1:2" ht="23.25" thickBot="1">
      <c r="A1109" s="383">
        <v>2095</v>
      </c>
      <c r="B1109" s="625" t="s">
        <v>1632</v>
      </c>
    </row>
    <row r="1110" spans="1:2" ht="32.25" thickBot="1">
      <c r="A1110" s="383">
        <v>2096</v>
      </c>
      <c r="B1110" s="629" t="s">
        <v>1633</v>
      </c>
    </row>
    <row r="1111" spans="1:2" ht="30.75" thickBot="1">
      <c r="A1111" s="383">
        <v>2097</v>
      </c>
      <c r="B1111" s="627" t="s">
        <v>1634</v>
      </c>
    </row>
    <row r="1112" spans="1:2" ht="34.5" thickBot="1">
      <c r="A1112" s="383">
        <v>2098</v>
      </c>
      <c r="B1112" s="625" t="s">
        <v>1635</v>
      </c>
    </row>
    <row r="1113" spans="1:2" ht="34.5" thickBot="1">
      <c r="A1113" s="383">
        <v>2099</v>
      </c>
      <c r="B1113" s="625" t="s">
        <v>1636</v>
      </c>
    </row>
    <row r="1114" spans="1:2" ht="23.25" thickBot="1">
      <c r="A1114" s="383">
        <v>2100</v>
      </c>
      <c r="B1114" s="625" t="s">
        <v>1637</v>
      </c>
    </row>
    <row r="1115" spans="1:2" ht="21.75" thickBot="1">
      <c r="A1115" s="383">
        <v>2101</v>
      </c>
      <c r="B1115" s="629" t="s">
        <v>1638</v>
      </c>
    </row>
    <row r="1116" spans="1:2" ht="16.5" thickBot="1">
      <c r="A1116" s="383">
        <v>2102</v>
      </c>
      <c r="B1116" s="626" t="s">
        <v>1639</v>
      </c>
    </row>
    <row r="1117" spans="1:2" ht="15.75" thickBot="1">
      <c r="A1117" s="383">
        <v>2103</v>
      </c>
      <c r="B1117" s="627" t="s">
        <v>1640</v>
      </c>
    </row>
    <row r="1118" spans="1:2" ht="34.5" thickBot="1">
      <c r="A1118" s="383">
        <v>2104</v>
      </c>
      <c r="B1118" s="625" t="s">
        <v>1641</v>
      </c>
    </row>
    <row r="1119" spans="1:2" ht="23.25" thickBot="1">
      <c r="A1119" s="383">
        <v>2105</v>
      </c>
      <c r="B1119" s="625" t="s">
        <v>1642</v>
      </c>
    </row>
    <row r="1120" spans="1:2" ht="34.5" thickBot="1">
      <c r="A1120" s="383">
        <v>2106</v>
      </c>
      <c r="B1120" s="625" t="s">
        <v>1643</v>
      </c>
    </row>
    <row r="1121" spans="1:2" ht="45.75" thickBot="1">
      <c r="A1121" s="383">
        <v>2107</v>
      </c>
      <c r="B1121" s="625" t="s">
        <v>1644</v>
      </c>
    </row>
    <row r="1122" spans="1:2" ht="15.75" thickBot="1">
      <c r="A1122" s="383">
        <v>2108</v>
      </c>
      <c r="B1122" s="625" t="s">
        <v>1645</v>
      </c>
    </row>
    <row r="1123" spans="1:2" ht="34.5" thickBot="1">
      <c r="A1123" s="383">
        <v>2109</v>
      </c>
      <c r="B1123" s="625" t="s">
        <v>1646</v>
      </c>
    </row>
    <row r="1124" spans="1:2" ht="39" thickBot="1">
      <c r="A1124" s="383">
        <v>2110</v>
      </c>
      <c r="B1124" s="630" t="s">
        <v>1647</v>
      </c>
    </row>
    <row r="1125" spans="1:2" ht="15.75" thickBot="1">
      <c r="A1125" s="383">
        <v>2111</v>
      </c>
      <c r="B1125" s="632" t="s">
        <v>1648</v>
      </c>
    </row>
    <row r="1126" spans="1:2" ht="23.25" thickBot="1">
      <c r="A1126" s="383">
        <v>2112</v>
      </c>
      <c r="B1126" s="625" t="s">
        <v>1649</v>
      </c>
    </row>
    <row r="1127" spans="1:2" ht="15.75" thickBot="1">
      <c r="A1127" s="383">
        <v>2113</v>
      </c>
      <c r="B1127" s="629" t="s">
        <v>1650</v>
      </c>
    </row>
    <row r="1128" spans="1:2" ht="34.5" thickBot="1">
      <c r="A1128" s="383">
        <v>2114</v>
      </c>
      <c r="B1128" s="625" t="s">
        <v>1651</v>
      </c>
    </row>
    <row r="1129" spans="1:2" ht="15.75" thickBot="1">
      <c r="A1129" s="383">
        <v>2115</v>
      </c>
      <c r="B1129" s="628" t="s">
        <v>1652</v>
      </c>
    </row>
    <row r="1130" spans="1:2" ht="23.25" thickBot="1">
      <c r="A1130" s="383">
        <v>2116</v>
      </c>
      <c r="B1130" s="625" t="s">
        <v>1653</v>
      </c>
    </row>
    <row r="1131" spans="1:2" ht="23.25" thickBot="1">
      <c r="A1131" s="383">
        <v>2117</v>
      </c>
      <c r="B1131" s="625" t="s">
        <v>1654</v>
      </c>
    </row>
    <row r="1132" spans="1:2" ht="23.25" thickBot="1">
      <c r="A1132" s="383">
        <v>2118</v>
      </c>
      <c r="B1132" s="625" t="s">
        <v>1655</v>
      </c>
    </row>
    <row r="1133" spans="1:2" ht="34.5" thickBot="1">
      <c r="A1133" s="383">
        <v>2119</v>
      </c>
      <c r="B1133" s="625" t="s">
        <v>1656</v>
      </c>
    </row>
    <row r="1134" spans="1:2" ht="23.25" thickBot="1">
      <c r="A1134" s="383">
        <v>2120</v>
      </c>
      <c r="B1134" s="625" t="s">
        <v>1657</v>
      </c>
    </row>
    <row r="1135" spans="1:2" ht="21.75" thickBot="1">
      <c r="A1135" s="383">
        <v>2121</v>
      </c>
      <c r="B1135" s="629" t="s">
        <v>1658</v>
      </c>
    </row>
    <row r="1136" spans="1:2" ht="15.75" thickBot="1">
      <c r="A1136" s="383">
        <v>2122</v>
      </c>
      <c r="B1136" s="631" t="s">
        <v>1659</v>
      </c>
    </row>
    <row r="1137" spans="1:2" ht="15.75" thickBot="1">
      <c r="A1137" s="383">
        <v>2123</v>
      </c>
      <c r="B1137" s="632" t="s">
        <v>1660</v>
      </c>
    </row>
    <row r="1138" spans="1:2" ht="15.75" thickBot="1">
      <c r="A1138" s="383">
        <v>2124</v>
      </c>
      <c r="B1138" s="631" t="s">
        <v>1661</v>
      </c>
    </row>
    <row r="1139" spans="1:2" ht="16.5" thickBot="1">
      <c r="A1139" s="383">
        <v>2125</v>
      </c>
      <c r="B1139" s="633" t="s">
        <v>1662</v>
      </c>
    </row>
    <row r="1140" spans="1:2" ht="23.25" thickBot="1">
      <c r="A1140" s="383">
        <v>2126</v>
      </c>
      <c r="B1140" s="625" t="s">
        <v>1663</v>
      </c>
    </row>
    <row r="1141" spans="1:2" ht="34.5" thickBot="1">
      <c r="A1141" s="383">
        <v>2127</v>
      </c>
      <c r="B1141" s="625" t="s">
        <v>1664</v>
      </c>
    </row>
    <row r="1142" spans="1:2" ht="34.5" thickBot="1">
      <c r="A1142" s="383">
        <v>2128</v>
      </c>
      <c r="B1142" s="625" t="s">
        <v>1665</v>
      </c>
    </row>
    <row r="1143" spans="1:2" ht="23.25" thickBot="1">
      <c r="A1143" s="383">
        <v>2129</v>
      </c>
      <c r="B1143" s="625" t="s">
        <v>1666</v>
      </c>
    </row>
    <row r="1144" spans="1:2" ht="23.25" thickBot="1">
      <c r="A1144" s="383">
        <v>2130</v>
      </c>
      <c r="B1144" s="625" t="s">
        <v>1667</v>
      </c>
    </row>
    <row r="1145" spans="1:2" ht="23.25" thickBot="1">
      <c r="A1145" s="383">
        <v>2131</v>
      </c>
      <c r="B1145" s="625" t="s">
        <v>1668</v>
      </c>
    </row>
    <row r="1146" spans="1:2" ht="34.5" thickBot="1">
      <c r="A1146" s="383">
        <v>2132</v>
      </c>
      <c r="B1146" s="625" t="s">
        <v>1669</v>
      </c>
    </row>
    <row r="1147" spans="1:2" ht="45.75" thickBot="1">
      <c r="A1147" s="383">
        <v>2133</v>
      </c>
      <c r="B1147" s="625" t="s">
        <v>1670</v>
      </c>
    </row>
    <row r="1148" spans="1:2" ht="23.25" thickBot="1">
      <c r="A1148" s="383">
        <v>2134</v>
      </c>
      <c r="B1148" s="625" t="s">
        <v>1671</v>
      </c>
    </row>
    <row r="1149" spans="1:2" ht="15.75" thickBot="1">
      <c r="A1149" s="383">
        <v>2135</v>
      </c>
      <c r="B1149" s="625" t="s">
        <v>1672</v>
      </c>
    </row>
    <row r="1150" spans="1:2" ht="23.25" thickBot="1">
      <c r="A1150" s="383">
        <v>2136</v>
      </c>
      <c r="B1150" s="625" t="s">
        <v>1673</v>
      </c>
    </row>
    <row r="1151" spans="1:2" ht="15.75" thickBot="1">
      <c r="A1151" s="383">
        <v>2137</v>
      </c>
      <c r="B1151" s="629" t="s">
        <v>543</v>
      </c>
    </row>
    <row r="1152" spans="1:2" ht="53.25" thickBot="1">
      <c r="A1152" s="383">
        <v>2138</v>
      </c>
      <c r="B1152" s="629" t="s">
        <v>1674</v>
      </c>
    </row>
    <row r="1153" spans="1:2" ht="34.5" thickBot="1">
      <c r="A1153" s="383">
        <v>2139</v>
      </c>
      <c r="B1153" s="625" t="s">
        <v>1675</v>
      </c>
    </row>
    <row r="1154" spans="1:2" ht="15.75" thickBot="1">
      <c r="A1154" s="383">
        <v>2140</v>
      </c>
      <c r="B1154" s="625" t="s">
        <v>1676</v>
      </c>
    </row>
    <row r="1155" spans="1:2" ht="23.25" thickBot="1">
      <c r="A1155" s="383">
        <v>2141</v>
      </c>
      <c r="B1155" s="625" t="s">
        <v>1677</v>
      </c>
    </row>
    <row r="1156" spans="1:2" ht="23.25" thickBot="1">
      <c r="A1156" s="383">
        <v>2142</v>
      </c>
      <c r="B1156" s="625" t="s">
        <v>1678</v>
      </c>
    </row>
    <row r="1157" spans="1:2" ht="45.75" thickBot="1">
      <c r="A1157" s="383">
        <v>2143</v>
      </c>
      <c r="B1157" s="625" t="s">
        <v>1679</v>
      </c>
    </row>
    <row r="1158" spans="1:2" ht="21.75" thickBot="1">
      <c r="A1158" s="383">
        <v>2144</v>
      </c>
      <c r="B1158" s="629" t="s">
        <v>1680</v>
      </c>
    </row>
    <row r="1159" spans="1:2" ht="15.75" thickBot="1">
      <c r="A1159" s="383">
        <v>2145</v>
      </c>
      <c r="B1159" s="632" t="s">
        <v>1681</v>
      </c>
    </row>
    <row r="1160" spans="1:2" ht="15.75" thickBot="1">
      <c r="A1160" s="383">
        <v>2146</v>
      </c>
      <c r="B1160" s="634" t="s">
        <v>1682</v>
      </c>
    </row>
    <row r="1161" spans="1:2" ht="15.75" thickBot="1">
      <c r="A1161" s="383">
        <v>2147</v>
      </c>
      <c r="B1161" s="631" t="s">
        <v>1683</v>
      </c>
    </row>
    <row r="1162" spans="1:2" ht="15.75" thickBot="1">
      <c r="A1162" s="383">
        <v>2148</v>
      </c>
      <c r="B1162" s="625" t="s">
        <v>1684</v>
      </c>
    </row>
    <row r="1163" spans="1:2" ht="15.75" thickBot="1">
      <c r="A1163" s="383">
        <v>2149</v>
      </c>
      <c r="B1163" s="635" t="s">
        <v>1685</v>
      </c>
    </row>
    <row r="1164" spans="1:2" ht="36.75" thickBot="1">
      <c r="A1164" s="383">
        <v>2150</v>
      </c>
      <c r="B1164" s="624" t="s">
        <v>1686</v>
      </c>
    </row>
    <row r="1165" spans="1:2" ht="23.25" thickBot="1">
      <c r="A1165" s="383">
        <v>2151</v>
      </c>
      <c r="B1165" s="625" t="s">
        <v>1687</v>
      </c>
    </row>
    <row r="1166" spans="1:2" ht="23.25" thickBot="1">
      <c r="A1166" s="383">
        <v>2152</v>
      </c>
      <c r="B1166" s="625" t="s">
        <v>1688</v>
      </c>
    </row>
    <row r="1167" spans="1:2" ht="16.5" thickBot="1">
      <c r="A1167" s="383">
        <v>2153</v>
      </c>
      <c r="B1167" s="626" t="s">
        <v>1689</v>
      </c>
    </row>
    <row r="1168" spans="1:2" ht="15.75" thickBot="1">
      <c r="A1168" s="383">
        <v>2154</v>
      </c>
      <c r="B1168" s="636" t="s">
        <v>1690</v>
      </c>
    </row>
    <row r="1169" spans="1:2" ht="79.5" thickBot="1">
      <c r="A1169" s="383">
        <v>2155</v>
      </c>
      <c r="B1169" s="625" t="s">
        <v>1691</v>
      </c>
    </row>
    <row r="1170" spans="1:2" ht="15.75" thickBot="1">
      <c r="A1170" s="383">
        <v>2156</v>
      </c>
      <c r="B1170" s="629" t="s">
        <v>1692</v>
      </c>
    </row>
    <row r="1171" spans="1:2" ht="32.25" thickBot="1">
      <c r="A1171" s="383">
        <v>2157</v>
      </c>
      <c r="B1171" s="629" t="s">
        <v>1693</v>
      </c>
    </row>
    <row r="1172" spans="1:2" ht="15.75" thickBot="1">
      <c r="A1172" s="383">
        <v>2158</v>
      </c>
      <c r="B1172" s="632" t="s">
        <v>1694</v>
      </c>
    </row>
    <row r="1173" spans="1:2" ht="45.75" thickBot="1">
      <c r="A1173" s="383">
        <v>2159</v>
      </c>
      <c r="B1173" s="625" t="s">
        <v>1695</v>
      </c>
    </row>
    <row r="1174" spans="1:2" ht="34.5" thickBot="1">
      <c r="A1174" s="383">
        <v>2160</v>
      </c>
      <c r="B1174" s="625" t="s">
        <v>1696</v>
      </c>
    </row>
    <row r="1175" spans="1:2" ht="15.75" thickBot="1">
      <c r="A1175" s="383">
        <v>2161</v>
      </c>
      <c r="B1175" s="637" t="s">
        <v>1697</v>
      </c>
    </row>
    <row r="1176" spans="1:2" ht="45.75" thickBot="1">
      <c r="A1176" s="383">
        <v>2162</v>
      </c>
      <c r="B1176" s="625" t="s">
        <v>1698</v>
      </c>
    </row>
    <row r="1177" spans="1:2" ht="32.25" thickBot="1">
      <c r="A1177" s="383">
        <v>2163</v>
      </c>
      <c r="B1177" s="629" t="s">
        <v>1699</v>
      </c>
    </row>
    <row r="1178" spans="1:2" ht="15.75" thickBot="1">
      <c r="A1178" s="383">
        <v>2164</v>
      </c>
      <c r="B1178" s="637" t="s">
        <v>1700</v>
      </c>
    </row>
    <row r="1179" spans="1:2" ht="15.75" thickBot="1">
      <c r="A1179" s="383">
        <v>2165</v>
      </c>
      <c r="B1179" s="638" t="s">
        <v>1701</v>
      </c>
    </row>
    <row r="1180" spans="1:2" ht="15.75" thickBot="1">
      <c r="A1180" s="383">
        <v>2166</v>
      </c>
      <c r="B1180" s="628" t="s">
        <v>1702</v>
      </c>
    </row>
    <row r="1181" spans="1:2" ht="90.75" thickBot="1">
      <c r="A1181" s="383">
        <v>2167</v>
      </c>
      <c r="B1181" s="625" t="s">
        <v>1703</v>
      </c>
    </row>
    <row r="1182" spans="1:2" ht="45.75" thickBot="1">
      <c r="A1182" s="383">
        <v>2168</v>
      </c>
      <c r="B1182" s="625" t="s">
        <v>1704</v>
      </c>
    </row>
    <row r="1183" spans="1:2" ht="63.75" thickBot="1">
      <c r="A1183" s="383">
        <v>2169</v>
      </c>
      <c r="B1183" s="629" t="s">
        <v>1705</v>
      </c>
    </row>
    <row r="1184" spans="1:2" ht="23.25" thickBot="1">
      <c r="A1184" s="383">
        <v>2170</v>
      </c>
      <c r="B1184" s="625" t="s">
        <v>1706</v>
      </c>
    </row>
    <row r="1185" spans="1:2" ht="15.75" thickBot="1">
      <c r="A1185" s="383">
        <v>2171</v>
      </c>
      <c r="B1185" s="631" t="s">
        <v>1707</v>
      </c>
    </row>
    <row r="1186" spans="1:2" ht="15.75" thickBot="1">
      <c r="A1186" s="383">
        <v>2172</v>
      </c>
      <c r="B1186" s="639" t="s">
        <v>1708</v>
      </c>
    </row>
    <row r="1187" spans="1:2" ht="15.75" thickBot="1">
      <c r="A1187" s="383">
        <v>2173</v>
      </c>
      <c r="B1187" s="628" t="s">
        <v>1709</v>
      </c>
    </row>
    <row r="1188" spans="1:2" ht="23.25" thickBot="1">
      <c r="A1188" s="383">
        <v>2174</v>
      </c>
      <c r="B1188" s="625" t="s">
        <v>1710</v>
      </c>
    </row>
    <row r="1189" spans="1:2" ht="15.75" thickBot="1">
      <c r="A1189" s="383">
        <v>2175</v>
      </c>
      <c r="B1189" s="628" t="s">
        <v>1711</v>
      </c>
    </row>
    <row r="1190" spans="1:2" ht="15.75" thickBot="1">
      <c r="A1190" s="383">
        <v>2176</v>
      </c>
      <c r="B1190" s="640" t="s">
        <v>1712</v>
      </c>
    </row>
    <row r="1191" spans="1:2" ht="15.75" thickBot="1">
      <c r="A1191" s="383">
        <v>2177</v>
      </c>
      <c r="B1191" s="637" t="s">
        <v>1713</v>
      </c>
    </row>
    <row r="1192" spans="1:2" ht="15.75" thickBot="1">
      <c r="A1192" s="383">
        <v>2178</v>
      </c>
      <c r="B1192" s="628" t="s">
        <v>1714</v>
      </c>
    </row>
    <row r="1193" spans="1:2" ht="15.75" thickBot="1">
      <c r="A1193" s="383">
        <v>2179</v>
      </c>
      <c r="B1193" s="625" t="s">
        <v>1715</v>
      </c>
    </row>
    <row r="1194" spans="1:2" ht="23.25" thickBot="1">
      <c r="A1194" s="383">
        <v>2180</v>
      </c>
      <c r="B1194" s="625" t="s">
        <v>1716</v>
      </c>
    </row>
    <row r="1195" spans="1:2" ht="23.25" thickBot="1">
      <c r="A1195" s="383">
        <v>2181</v>
      </c>
      <c r="B1195" s="625" t="s">
        <v>1717</v>
      </c>
    </row>
    <row r="1196" spans="1:2" ht="23.25" thickBot="1">
      <c r="A1196" s="383">
        <v>2182</v>
      </c>
      <c r="B1196" s="625" t="s">
        <v>1718</v>
      </c>
    </row>
    <row r="1197" spans="1:2" ht="23.25" thickBot="1">
      <c r="A1197" s="383">
        <v>2183</v>
      </c>
      <c r="B1197" s="625" t="s">
        <v>1719</v>
      </c>
    </row>
    <row r="1198" spans="1:2" ht="15.75" thickBot="1">
      <c r="A1198" s="383">
        <v>2184</v>
      </c>
      <c r="B1198" s="635" t="s">
        <v>1720</v>
      </c>
    </row>
    <row r="1199" spans="1:2" ht="36.75" thickBot="1">
      <c r="A1199" s="383">
        <v>2185</v>
      </c>
      <c r="B1199" s="624" t="s">
        <v>1721</v>
      </c>
    </row>
    <row r="1200" spans="1:2" ht="34.5" thickBot="1">
      <c r="A1200" s="383">
        <v>2186</v>
      </c>
      <c r="B1200" s="625" t="s">
        <v>1722</v>
      </c>
    </row>
    <row r="1201" spans="1:2" ht="23.25" thickBot="1">
      <c r="A1201" s="383">
        <v>2187</v>
      </c>
      <c r="B1201" s="625" t="s">
        <v>1723</v>
      </c>
    </row>
    <row r="1202" spans="1:2" ht="32.25" thickBot="1">
      <c r="A1202" s="383">
        <v>2188</v>
      </c>
      <c r="B1202" s="626" t="s">
        <v>1724</v>
      </c>
    </row>
    <row r="1203" spans="1:2" ht="79.5" thickBot="1">
      <c r="A1203" s="383">
        <v>2189</v>
      </c>
      <c r="B1203" s="625" t="s">
        <v>1725</v>
      </c>
    </row>
    <row r="1204" spans="1:2" ht="79.5" thickBot="1">
      <c r="A1204" s="383">
        <v>2190</v>
      </c>
      <c r="B1204" s="625" t="s">
        <v>1726</v>
      </c>
    </row>
    <row r="1205" spans="1:2" ht="23.25" thickBot="1">
      <c r="A1205" s="383">
        <v>2191</v>
      </c>
      <c r="B1205" s="625" t="s">
        <v>1727</v>
      </c>
    </row>
    <row r="1206" spans="1:2" ht="34.5" thickBot="1">
      <c r="A1206" s="383">
        <v>2192</v>
      </c>
      <c r="B1206" s="625" t="s">
        <v>1728</v>
      </c>
    </row>
    <row r="1207" spans="1:2" ht="23.25" thickBot="1">
      <c r="A1207" s="383">
        <v>2193</v>
      </c>
      <c r="B1207" s="625" t="s">
        <v>1729</v>
      </c>
    </row>
    <row r="1208" spans="1:2" ht="23.25" thickBot="1">
      <c r="A1208" s="383">
        <v>2194</v>
      </c>
      <c r="B1208" s="625" t="s">
        <v>1730</v>
      </c>
    </row>
    <row r="1209" spans="1:2" ht="15.75" thickBot="1">
      <c r="A1209" s="383">
        <v>2195</v>
      </c>
      <c r="B1209" s="628" t="s">
        <v>1731</v>
      </c>
    </row>
    <row r="1210" spans="1:2" ht="45.75" thickBot="1">
      <c r="A1210" s="383">
        <v>2196</v>
      </c>
      <c r="B1210" s="625" t="s">
        <v>1732</v>
      </c>
    </row>
    <row r="1211" spans="1:2" ht="15.75" thickBot="1">
      <c r="A1211" s="383">
        <v>2197</v>
      </c>
      <c r="B1211" s="640" t="s">
        <v>1733</v>
      </c>
    </row>
    <row r="1212" spans="1:2" ht="15.75" thickBot="1">
      <c r="A1212" s="383">
        <v>2198</v>
      </c>
      <c r="B1212" s="640" t="s">
        <v>1734</v>
      </c>
    </row>
    <row r="1213" spans="1:2" ht="15.75" thickBot="1">
      <c r="A1213" s="383">
        <v>2199</v>
      </c>
      <c r="B1213" s="625" t="s">
        <v>1735</v>
      </c>
    </row>
    <row r="1214" spans="1:2" ht="15.75" thickBot="1">
      <c r="A1214" s="383">
        <v>2200</v>
      </c>
      <c r="B1214" s="628" t="s">
        <v>1736</v>
      </c>
    </row>
    <row r="1215" spans="1:2" ht="34.5" thickBot="1">
      <c r="A1215" s="383">
        <v>2201</v>
      </c>
      <c r="B1215" s="625" t="s">
        <v>1737</v>
      </c>
    </row>
    <row r="1216" spans="1:2" ht="45.75" thickBot="1">
      <c r="A1216" s="383">
        <v>2202</v>
      </c>
      <c r="B1216" s="625" t="s">
        <v>1738</v>
      </c>
    </row>
    <row r="1217" spans="1:2" ht="15.75" thickBot="1">
      <c r="A1217" s="383">
        <v>2203</v>
      </c>
      <c r="B1217" s="628" t="s">
        <v>1625</v>
      </c>
    </row>
    <row r="1218" spans="1:2" ht="15.75" thickBot="1">
      <c r="A1218" s="383">
        <v>2204</v>
      </c>
      <c r="B1218" s="640" t="s">
        <v>1739</v>
      </c>
    </row>
    <row r="1219" spans="1:2" ht="15.75" thickBot="1">
      <c r="A1219" s="383">
        <v>2205</v>
      </c>
      <c r="B1219" s="640" t="s">
        <v>1740</v>
      </c>
    </row>
    <row r="1220" spans="1:2" ht="15.75" thickBot="1">
      <c r="A1220" s="383">
        <v>2206</v>
      </c>
      <c r="B1220" s="641" t="s">
        <v>1741</v>
      </c>
    </row>
    <row r="1221" spans="1:2" ht="15.75" thickBot="1">
      <c r="A1221" s="383">
        <v>2207</v>
      </c>
      <c r="B1221" s="640" t="s">
        <v>1742</v>
      </c>
    </row>
    <row r="1222" spans="1:2" ht="34.5" thickBot="1">
      <c r="A1222" s="383">
        <v>2208</v>
      </c>
      <c r="B1222" s="625" t="s">
        <v>1743</v>
      </c>
    </row>
    <row r="1223" spans="1:2" ht="15.75" thickBot="1">
      <c r="A1223" s="383">
        <v>2209</v>
      </c>
      <c r="B1223" s="629" t="s">
        <v>1744</v>
      </c>
    </row>
    <row r="1224" spans="1:2" ht="68.25" thickBot="1">
      <c r="A1224" s="383">
        <v>2210</v>
      </c>
      <c r="B1224" s="625" t="s">
        <v>1745</v>
      </c>
    </row>
    <row r="1225" spans="1:2" ht="15.75" thickBot="1">
      <c r="A1225" s="383">
        <v>2211</v>
      </c>
      <c r="B1225" s="629" t="s">
        <v>1746</v>
      </c>
    </row>
    <row r="1226" spans="1:2" ht="15.75" thickBot="1">
      <c r="A1226" s="383">
        <v>2212</v>
      </c>
      <c r="B1226" s="640" t="s">
        <v>1747</v>
      </c>
    </row>
    <row r="1227" spans="1:2" ht="15.75" thickBot="1">
      <c r="A1227" s="383">
        <v>2213</v>
      </c>
      <c r="B1227" s="640" t="s">
        <v>1748</v>
      </c>
    </row>
    <row r="1228" spans="1:2" ht="15.75" thickBot="1">
      <c r="A1228" s="383">
        <v>2214</v>
      </c>
      <c r="B1228" s="641" t="s">
        <v>1749</v>
      </c>
    </row>
    <row r="1229" spans="1:2" ht="15.75" thickBot="1">
      <c r="A1229" s="383">
        <v>2215</v>
      </c>
      <c r="B1229" s="640" t="s">
        <v>1750</v>
      </c>
    </row>
    <row r="1230" spans="1:2" ht="15.75" thickBot="1">
      <c r="A1230" s="383">
        <v>2216</v>
      </c>
      <c r="B1230" s="640" t="s">
        <v>1751</v>
      </c>
    </row>
    <row r="1231" spans="1:2" ht="15.75" thickBot="1">
      <c r="A1231" s="383">
        <v>2217</v>
      </c>
      <c r="B1231" s="640" t="s">
        <v>1752</v>
      </c>
    </row>
    <row r="1232" spans="1:2" ht="15.75" thickBot="1">
      <c r="A1232" s="383">
        <v>2218</v>
      </c>
      <c r="B1232" s="640" t="s">
        <v>1753</v>
      </c>
    </row>
    <row r="1233" spans="1:2" ht="15.75" thickBot="1">
      <c r="A1233" s="383">
        <v>2219</v>
      </c>
      <c r="B1233" s="640" t="s">
        <v>1754</v>
      </c>
    </row>
    <row r="1234" spans="1:2" ht="15.75" thickBot="1">
      <c r="A1234" s="383">
        <v>2220</v>
      </c>
      <c r="B1234" s="641" t="s">
        <v>1755</v>
      </c>
    </row>
    <row r="1235" spans="1:2" ht="15.75" thickBot="1">
      <c r="A1235" s="383">
        <v>2221</v>
      </c>
      <c r="B1235" s="642" t="s">
        <v>1756</v>
      </c>
    </row>
    <row r="1236" spans="1:2" ht="32.25" thickBot="1">
      <c r="A1236" s="383">
        <v>2222</v>
      </c>
      <c r="B1236" s="629" t="s">
        <v>1757</v>
      </c>
    </row>
    <row r="1237" spans="1:2" ht="21.75" thickBot="1">
      <c r="A1237" s="383">
        <v>2223</v>
      </c>
      <c r="B1237" s="629" t="s">
        <v>1758</v>
      </c>
    </row>
    <row r="1238" spans="1:2" ht="15.75" thickBot="1">
      <c r="A1238" s="383">
        <v>2224</v>
      </c>
      <c r="B1238" s="631" t="s">
        <v>1759</v>
      </c>
    </row>
    <row r="1239" spans="1:2" ht="15.75" thickBot="1">
      <c r="A1239" s="383">
        <v>2225</v>
      </c>
      <c r="B1239" s="631" t="s">
        <v>1760</v>
      </c>
    </row>
    <row r="1240" spans="1:2" ht="15.75" thickBot="1">
      <c r="A1240" s="383">
        <v>2226</v>
      </c>
      <c r="B1240" s="631" t="s">
        <v>1761</v>
      </c>
    </row>
    <row r="1241" spans="1:2" ht="15.75" thickBot="1">
      <c r="A1241" s="383">
        <v>2227</v>
      </c>
      <c r="B1241" s="631" t="s">
        <v>1762</v>
      </c>
    </row>
    <row r="1242" spans="1:2" ht="15.75" thickBot="1">
      <c r="A1242" s="383">
        <v>2228</v>
      </c>
      <c r="B1242" s="631" t="s">
        <v>1763</v>
      </c>
    </row>
    <row r="1243" spans="1:2" ht="15.75" thickBot="1">
      <c r="A1243" s="383">
        <v>2229</v>
      </c>
      <c r="B1243" s="637" t="s">
        <v>1764</v>
      </c>
    </row>
    <row r="1244" spans="1:2" ht="45.75" thickBot="1">
      <c r="A1244" s="383">
        <v>2230</v>
      </c>
      <c r="B1244" s="625" t="s">
        <v>1765</v>
      </c>
    </row>
    <row r="1245" spans="1:2" ht="34.5" thickBot="1">
      <c r="A1245" s="383">
        <v>2231</v>
      </c>
      <c r="B1245" s="625" t="s">
        <v>1766</v>
      </c>
    </row>
    <row r="1246" spans="1:2" ht="15.75" thickBot="1">
      <c r="A1246" s="383">
        <v>2232</v>
      </c>
      <c r="B1246" s="637" t="s">
        <v>1767</v>
      </c>
    </row>
    <row r="1247" spans="1:2" ht="53.25" thickBot="1">
      <c r="A1247" s="383">
        <v>2233</v>
      </c>
      <c r="B1247" s="629" t="s">
        <v>1768</v>
      </c>
    </row>
    <row r="1248" spans="1:2" ht="45.75" thickBot="1">
      <c r="A1248" s="383">
        <v>2234</v>
      </c>
      <c r="B1248" s="625" t="s">
        <v>1769</v>
      </c>
    </row>
    <row r="1249" spans="1:2" ht="15.75" thickBot="1">
      <c r="A1249" s="383">
        <v>2235</v>
      </c>
      <c r="B1249" s="637" t="s">
        <v>1770</v>
      </c>
    </row>
    <row r="1250" spans="1:2" ht="15.75" thickBot="1">
      <c r="A1250" s="383">
        <v>2236</v>
      </c>
      <c r="B1250" s="641" t="s">
        <v>1771</v>
      </c>
    </row>
    <row r="1251" spans="1:2" ht="45.75" thickBot="1">
      <c r="A1251" s="383">
        <v>2237</v>
      </c>
      <c r="B1251" s="625" t="s">
        <v>1772</v>
      </c>
    </row>
    <row r="1252" spans="1:2" ht="15.75" thickBot="1">
      <c r="A1252" s="383">
        <v>2238</v>
      </c>
      <c r="B1252" s="640" t="s">
        <v>1773</v>
      </c>
    </row>
    <row r="1253" spans="1:2" ht="15.75" thickBot="1">
      <c r="A1253" s="383">
        <v>2239</v>
      </c>
      <c r="B1253" s="641" t="s">
        <v>1774</v>
      </c>
    </row>
    <row r="1254" spans="1:2" ht="15.75" thickBot="1">
      <c r="A1254" s="383">
        <v>2240</v>
      </c>
      <c r="B1254" s="639" t="s">
        <v>1775</v>
      </c>
    </row>
    <row r="1255" spans="1:2" ht="23.25" thickBot="1">
      <c r="A1255" s="383">
        <v>2241</v>
      </c>
      <c r="B1255" s="625" t="s">
        <v>1776</v>
      </c>
    </row>
    <row r="1256" spans="1:2" ht="21.75" thickBot="1">
      <c r="A1256" s="383">
        <v>2242</v>
      </c>
      <c r="B1256" s="629" t="s">
        <v>1777</v>
      </c>
    </row>
    <row r="1257" spans="1:2" ht="21.75" thickBot="1">
      <c r="A1257" s="383">
        <v>2243</v>
      </c>
      <c r="B1257" s="629" t="s">
        <v>1778</v>
      </c>
    </row>
    <row r="1258" spans="1:2" ht="34.5" thickBot="1">
      <c r="A1258" s="383">
        <v>2244</v>
      </c>
      <c r="B1258" s="625" t="s">
        <v>1779</v>
      </c>
    </row>
    <row r="1259" spans="1:2" ht="15.75" thickBot="1">
      <c r="A1259" s="383">
        <v>2245</v>
      </c>
      <c r="B1259" s="643" t="s">
        <v>1780</v>
      </c>
    </row>
    <row r="1260" spans="1:2" ht="15.75" thickBot="1">
      <c r="A1260" s="383">
        <v>2246</v>
      </c>
      <c r="B1260" s="637" t="s">
        <v>1781</v>
      </c>
    </row>
    <row r="1261" spans="1:2" ht="15.75" thickBot="1">
      <c r="A1261" s="383">
        <v>2247</v>
      </c>
      <c r="B1261" s="643" t="s">
        <v>1782</v>
      </c>
    </row>
    <row r="1262" spans="1:2" ht="15.75" thickBot="1">
      <c r="A1262" s="383">
        <v>2248</v>
      </c>
      <c r="B1262" s="628" t="s">
        <v>1783</v>
      </c>
    </row>
    <row r="1263" spans="1:2" ht="15.75" thickBot="1">
      <c r="A1263" s="383">
        <v>2249</v>
      </c>
      <c r="B1263" s="625" t="s">
        <v>1784</v>
      </c>
    </row>
    <row r="1264" spans="1:2" ht="15.75" thickBot="1">
      <c r="A1264" s="383">
        <v>2250</v>
      </c>
      <c r="B1264" s="637" t="s">
        <v>1785</v>
      </c>
    </row>
    <row r="1265" spans="1:2" ht="15.75" thickBot="1">
      <c r="A1265" s="383">
        <v>2251</v>
      </c>
      <c r="B1265" s="640" t="s">
        <v>1786</v>
      </c>
    </row>
    <row r="1266" spans="1:2" ht="23.25" thickBot="1">
      <c r="A1266" s="383">
        <v>2252</v>
      </c>
      <c r="B1266" s="625" t="s">
        <v>1787</v>
      </c>
    </row>
    <row r="1267" spans="1:2" ht="34.5" thickBot="1">
      <c r="A1267" s="383">
        <v>2253</v>
      </c>
      <c r="B1267" s="625" t="s">
        <v>1788</v>
      </c>
    </row>
    <row r="1268" spans="1:2" ht="15.75" thickBot="1">
      <c r="A1268" s="383">
        <v>2254</v>
      </c>
      <c r="B1268" s="644" t="s">
        <v>1789</v>
      </c>
    </row>
    <row r="1269" spans="1:2" ht="23.25" thickBot="1">
      <c r="A1269" s="383">
        <v>2255</v>
      </c>
      <c r="B1269" s="625" t="s">
        <v>1790</v>
      </c>
    </row>
    <row r="1270" spans="1:2" ht="34.5" thickBot="1">
      <c r="A1270" s="383">
        <v>2256</v>
      </c>
      <c r="B1270" s="625" t="s">
        <v>1791</v>
      </c>
    </row>
    <row r="1271" spans="1:2" ht="15.75" thickBot="1">
      <c r="A1271" s="383">
        <v>2257</v>
      </c>
      <c r="B1271" s="625" t="s">
        <v>1792</v>
      </c>
    </row>
    <row r="1272" spans="1:2" ht="24" thickBot="1">
      <c r="A1272" s="383">
        <v>2258</v>
      </c>
      <c r="B1272" s="644" t="s">
        <v>1793</v>
      </c>
    </row>
    <row r="1273" spans="1:2" ht="34.5" thickBot="1">
      <c r="A1273" s="383">
        <v>2259</v>
      </c>
      <c r="B1273" s="625" t="s">
        <v>1794</v>
      </c>
    </row>
    <row r="1274" spans="1:2" ht="32.25" thickBot="1">
      <c r="A1274" s="383">
        <v>2260</v>
      </c>
      <c r="B1274" s="629" t="s">
        <v>1795</v>
      </c>
    </row>
    <row r="1275" spans="1:2" ht="15.75" thickBot="1">
      <c r="A1275" s="383">
        <v>2261</v>
      </c>
      <c r="B1275" s="629" t="s">
        <v>1796</v>
      </c>
    </row>
    <row r="1276" spans="1:2" ht="15.75" thickBot="1">
      <c r="A1276" s="383">
        <v>2262</v>
      </c>
      <c r="B1276" s="640" t="s">
        <v>1797</v>
      </c>
    </row>
    <row r="1277" spans="1:2" ht="34.5" thickBot="1">
      <c r="A1277" s="383">
        <v>2263</v>
      </c>
      <c r="B1277" s="625" t="s">
        <v>1798</v>
      </c>
    </row>
    <row r="1278" spans="1:2" ht="68.25" thickBot="1">
      <c r="A1278" s="383">
        <v>2264</v>
      </c>
      <c r="B1278" s="625" t="s">
        <v>1799</v>
      </c>
    </row>
    <row r="1279" spans="1:2" ht="15.75" thickBot="1">
      <c r="A1279" s="383">
        <v>2265</v>
      </c>
      <c r="B1279" s="637" t="s">
        <v>1800</v>
      </c>
    </row>
    <row r="1280" spans="1:2" ht="23.25" thickBot="1">
      <c r="A1280" s="383">
        <v>2266</v>
      </c>
      <c r="B1280" s="625" t="s">
        <v>1801</v>
      </c>
    </row>
    <row r="1281" spans="1:2" ht="32.25" thickBot="1">
      <c r="A1281" s="383">
        <v>2267</v>
      </c>
      <c r="B1281" s="629" t="s">
        <v>1802</v>
      </c>
    </row>
    <row r="1282" spans="1:2" ht="15.75" thickBot="1">
      <c r="A1282" s="383">
        <v>2268</v>
      </c>
      <c r="B1282" s="637" t="s">
        <v>1803</v>
      </c>
    </row>
    <row r="1283" spans="1:2" ht="15.75" thickBot="1">
      <c r="A1283" s="383">
        <v>2269</v>
      </c>
      <c r="B1283" s="625" t="s">
        <v>1804</v>
      </c>
    </row>
    <row r="1284" spans="1:2" ht="23.25" thickBot="1">
      <c r="A1284" s="383">
        <v>2270</v>
      </c>
      <c r="B1284" s="625" t="s">
        <v>1805</v>
      </c>
    </row>
    <row r="1285" spans="1:2" ht="34.5" thickBot="1">
      <c r="A1285" s="383">
        <v>2271</v>
      </c>
      <c r="B1285" s="625" t="s">
        <v>1806</v>
      </c>
    </row>
    <row r="1286" spans="1:2" ht="15.75" thickBot="1">
      <c r="A1286" s="383">
        <v>2272</v>
      </c>
      <c r="B1286" s="640" t="s">
        <v>1807</v>
      </c>
    </row>
    <row r="1287" spans="1:2" ht="15.75" thickBot="1">
      <c r="A1287" s="383">
        <v>2273</v>
      </c>
      <c r="B1287" s="640" t="s">
        <v>1808</v>
      </c>
    </row>
    <row r="1288" spans="1:2" ht="23.25" thickBot="1">
      <c r="A1288" s="383">
        <v>2274</v>
      </c>
      <c r="B1288" s="625" t="s">
        <v>1809</v>
      </c>
    </row>
    <row r="1289" spans="1:2" ht="34.5" thickBot="1">
      <c r="A1289" s="383">
        <v>2275</v>
      </c>
      <c r="B1289" s="625" t="s">
        <v>1810</v>
      </c>
    </row>
    <row r="1290" spans="1:2" ht="34.5" thickBot="1">
      <c r="A1290" s="383">
        <v>2276</v>
      </c>
      <c r="B1290" s="625" t="s">
        <v>1811</v>
      </c>
    </row>
    <row r="1291" spans="1:2" ht="15.75" thickBot="1">
      <c r="A1291" s="383">
        <v>2277</v>
      </c>
      <c r="B1291" s="637" t="s">
        <v>1812</v>
      </c>
    </row>
    <row r="1292" spans="1:2" ht="15.75" thickBot="1">
      <c r="A1292" s="383">
        <v>2278</v>
      </c>
      <c r="B1292" s="637" t="s">
        <v>1813</v>
      </c>
    </row>
    <row r="1293" spans="1:2" ht="15.75" thickBot="1">
      <c r="A1293" s="383">
        <v>2279</v>
      </c>
      <c r="B1293" s="640" t="s">
        <v>1814</v>
      </c>
    </row>
    <row r="1294" spans="1:2" ht="15.75" thickBot="1">
      <c r="A1294" s="383">
        <v>2280</v>
      </c>
      <c r="B1294" s="640" t="s">
        <v>1815</v>
      </c>
    </row>
    <row r="1295" spans="1:2" ht="15.75" thickBot="1">
      <c r="A1295" s="383">
        <v>2281</v>
      </c>
      <c r="B1295" s="637" t="s">
        <v>1816</v>
      </c>
    </row>
    <row r="1296" spans="1:2" ht="15.75" thickBot="1">
      <c r="A1296" s="383">
        <v>2282</v>
      </c>
      <c r="B1296" s="640" t="s">
        <v>1817</v>
      </c>
    </row>
    <row r="1297" spans="1:2" ht="15.75" thickBot="1">
      <c r="A1297" s="383">
        <v>2283</v>
      </c>
      <c r="B1297" s="637" t="s">
        <v>1818</v>
      </c>
    </row>
    <row r="1298" spans="1:2" ht="34.5" thickBot="1">
      <c r="A1298" s="383">
        <v>2284</v>
      </c>
      <c r="B1298" s="625" t="s">
        <v>1819</v>
      </c>
    </row>
    <row r="1299" spans="1:2" ht="15.75" thickBot="1">
      <c r="A1299" s="383">
        <v>2285</v>
      </c>
      <c r="B1299" s="625" t="s">
        <v>1820</v>
      </c>
    </row>
    <row r="1300" spans="1:2" ht="15.75" thickBot="1">
      <c r="A1300" s="383">
        <v>2286</v>
      </c>
      <c r="B1300" s="625" t="s">
        <v>1821</v>
      </c>
    </row>
    <row r="1301" spans="1:2" ht="45.75" thickBot="1">
      <c r="A1301" s="383">
        <v>2287</v>
      </c>
      <c r="B1301" s="625" t="s">
        <v>1822</v>
      </c>
    </row>
    <row r="1302" spans="1:2" ht="23.25" thickBot="1">
      <c r="A1302" s="383">
        <v>2288</v>
      </c>
      <c r="B1302" s="625" t="s">
        <v>1823</v>
      </c>
    </row>
    <row r="1303" spans="1:2" ht="23.25" thickBot="1">
      <c r="A1303" s="383">
        <v>2289</v>
      </c>
      <c r="B1303" s="625" t="s">
        <v>1824</v>
      </c>
    </row>
    <row r="1304" spans="1:2" ht="32.25" thickBot="1">
      <c r="A1304" s="383">
        <v>2290</v>
      </c>
      <c r="B1304" s="629" t="s">
        <v>1825</v>
      </c>
    </row>
    <row r="1305" spans="1:2" ht="15.75" thickBot="1">
      <c r="A1305" s="383">
        <v>2291</v>
      </c>
      <c r="B1305" s="639" t="s">
        <v>1826</v>
      </c>
    </row>
    <row r="1306" spans="1:2" ht="15.75" thickBot="1">
      <c r="A1306" s="383">
        <v>2292</v>
      </c>
      <c r="B1306" s="639" t="s">
        <v>1827</v>
      </c>
    </row>
    <row r="1307" spans="1:2" ht="23.25" thickBot="1">
      <c r="A1307" s="383">
        <v>2293</v>
      </c>
      <c r="B1307" s="625" t="s">
        <v>1828</v>
      </c>
    </row>
    <row r="1308" spans="1:2" ht="15.75" thickBot="1">
      <c r="A1308" s="383">
        <v>2294</v>
      </c>
      <c r="B1308" s="640" t="s">
        <v>1829</v>
      </c>
    </row>
    <row r="1309" spans="1:2" ht="15.75" thickBot="1">
      <c r="A1309" s="383">
        <v>2295</v>
      </c>
      <c r="B1309" s="625" t="s">
        <v>1830</v>
      </c>
    </row>
    <row r="1310" spans="1:2" ht="23.25" thickBot="1">
      <c r="A1310" s="383">
        <v>2296</v>
      </c>
      <c r="B1310" s="625" t="s">
        <v>1831</v>
      </c>
    </row>
    <row r="1311" spans="1:2" ht="23.25" thickBot="1">
      <c r="A1311" s="383">
        <v>2297</v>
      </c>
      <c r="B1311" s="625" t="s">
        <v>1832</v>
      </c>
    </row>
    <row r="1312" spans="1:2" ht="15.75" thickBot="1">
      <c r="A1312" s="383">
        <v>2298</v>
      </c>
      <c r="B1312" s="625" t="s">
        <v>1833</v>
      </c>
    </row>
    <row r="1313" spans="1:2" ht="15.75" thickBot="1">
      <c r="A1313" s="383">
        <v>2299</v>
      </c>
      <c r="B1313" s="639" t="s">
        <v>1834</v>
      </c>
    </row>
    <row r="1314" spans="1:2" ht="15.75" thickBot="1">
      <c r="A1314" s="383">
        <v>2300</v>
      </c>
      <c r="B1314" s="638" t="s">
        <v>1835</v>
      </c>
    </row>
    <row r="1315" spans="1:2" ht="15.75" thickBot="1">
      <c r="A1315" s="383">
        <v>2301</v>
      </c>
      <c r="B1315" s="637" t="s">
        <v>1836</v>
      </c>
    </row>
    <row r="1316" spans="1:2" ht="15.75" thickBot="1">
      <c r="A1316" s="383">
        <v>2302</v>
      </c>
      <c r="B1316" s="640" t="s">
        <v>1837</v>
      </c>
    </row>
    <row r="1317" spans="1:2" ht="57" thickBot="1">
      <c r="A1317" s="383">
        <v>2303</v>
      </c>
      <c r="B1317" s="625" t="s">
        <v>1838</v>
      </c>
    </row>
    <row r="1318" spans="1:2" ht="23.25" thickBot="1">
      <c r="A1318" s="383">
        <v>2304</v>
      </c>
      <c r="B1318" s="625" t="s">
        <v>1839</v>
      </c>
    </row>
    <row r="1319" spans="1:2" ht="23.25" thickBot="1">
      <c r="A1319" s="383">
        <v>2305</v>
      </c>
      <c r="B1319" s="625" t="s">
        <v>1840</v>
      </c>
    </row>
    <row r="1320" spans="1:2" ht="23.25" thickBot="1">
      <c r="A1320" s="383">
        <v>2306</v>
      </c>
      <c r="B1320" s="625" t="s">
        <v>1841</v>
      </c>
    </row>
    <row r="1321" spans="1:2" ht="15.75" thickBot="1">
      <c r="A1321" s="383">
        <v>2307</v>
      </c>
      <c r="B1321" s="639" t="s">
        <v>1842</v>
      </c>
    </row>
    <row r="1322" spans="1:2" ht="15.75" thickBot="1">
      <c r="A1322" s="383">
        <v>2308</v>
      </c>
      <c r="B1322" s="639" t="s">
        <v>1843</v>
      </c>
    </row>
    <row r="1323" spans="1:2" ht="15.75" thickBot="1">
      <c r="A1323" s="383">
        <v>2309</v>
      </c>
      <c r="B1323" s="639" t="s">
        <v>1844</v>
      </c>
    </row>
    <row r="1324" spans="1:2" ht="15.75" thickBot="1">
      <c r="A1324" s="383">
        <v>2310</v>
      </c>
      <c r="B1324" s="639" t="s">
        <v>1845</v>
      </c>
    </row>
    <row r="1325" spans="1:2" ht="15.75" thickBot="1">
      <c r="A1325" s="383">
        <v>2311</v>
      </c>
      <c r="B1325" s="637" t="s">
        <v>1846</v>
      </c>
    </row>
    <row r="1326" spans="1:2" ht="57" thickBot="1">
      <c r="A1326" s="383">
        <v>2312</v>
      </c>
      <c r="B1326" s="625" t="s">
        <v>1847</v>
      </c>
    </row>
    <row r="1327" spans="1:2" ht="45.75" thickBot="1">
      <c r="A1327" s="383">
        <v>2313</v>
      </c>
      <c r="B1327" s="625" t="s">
        <v>1848</v>
      </c>
    </row>
    <row r="1328" spans="1:2" ht="34.5" thickBot="1">
      <c r="A1328" s="383">
        <v>2314</v>
      </c>
      <c r="B1328" s="625" t="s">
        <v>1849</v>
      </c>
    </row>
    <row r="1329" spans="1:2" ht="34.5" thickBot="1">
      <c r="A1329" s="383">
        <v>2315</v>
      </c>
      <c r="B1329" s="625" t="s">
        <v>1850</v>
      </c>
    </row>
    <row r="1330" spans="1:2" ht="57" thickBot="1">
      <c r="A1330" s="383">
        <v>2316</v>
      </c>
      <c r="B1330" s="625" t="s">
        <v>1851</v>
      </c>
    </row>
    <row r="1331" spans="1:2" ht="15.75" thickBot="1">
      <c r="A1331" s="383">
        <v>2317</v>
      </c>
      <c r="B1331" s="640" t="s">
        <v>1852</v>
      </c>
    </row>
    <row r="1332" spans="1:2" ht="53.25" thickBot="1">
      <c r="A1332" s="383">
        <v>2318</v>
      </c>
      <c r="B1332" s="629" t="s">
        <v>1853</v>
      </c>
    </row>
    <row r="1333" spans="1:2" ht="68.25" thickBot="1">
      <c r="A1333" s="383">
        <v>2319</v>
      </c>
      <c r="B1333" s="625" t="s">
        <v>1854</v>
      </c>
    </row>
    <row r="1334" spans="1:2" ht="15.75" thickBot="1">
      <c r="A1334" s="383">
        <v>2320</v>
      </c>
      <c r="B1334" s="640" t="s">
        <v>1855</v>
      </c>
    </row>
    <row r="1335" spans="1:2" ht="15.75" thickBot="1">
      <c r="A1335" s="383">
        <v>2321</v>
      </c>
      <c r="B1335" s="641" t="s">
        <v>1856</v>
      </c>
    </row>
    <row r="1336" spans="1:2" ht="15.75" thickBot="1">
      <c r="A1336" s="383">
        <v>2322</v>
      </c>
      <c r="B1336" s="640" t="s">
        <v>1857</v>
      </c>
    </row>
    <row r="1337" spans="1:2" ht="45.75" thickBot="1">
      <c r="A1337" s="383">
        <v>2323</v>
      </c>
      <c r="B1337" s="625" t="s">
        <v>1858</v>
      </c>
    </row>
    <row r="1338" spans="1:2" ht="15.75" thickBot="1">
      <c r="A1338" s="383">
        <v>2324</v>
      </c>
      <c r="B1338" s="625" t="s">
        <v>1859</v>
      </c>
    </row>
    <row r="1339" spans="1:2" ht="15.75" thickBot="1">
      <c r="A1339" s="383">
        <v>2325</v>
      </c>
      <c r="B1339" s="625" t="s">
        <v>1860</v>
      </c>
    </row>
    <row r="1340" spans="1:2" ht="23.25" thickBot="1">
      <c r="A1340" s="383">
        <v>2326</v>
      </c>
      <c r="B1340" s="625" t="s">
        <v>1861</v>
      </c>
    </row>
    <row r="1341" spans="1:2" ht="15.75" thickBot="1">
      <c r="A1341" s="383">
        <v>2327</v>
      </c>
      <c r="B1341" s="625" t="s">
        <v>1862</v>
      </c>
    </row>
    <row r="1342" spans="1:2" ht="34.5" thickBot="1">
      <c r="A1342" s="383">
        <v>2328</v>
      </c>
      <c r="B1342" s="625" t="s">
        <v>1863</v>
      </c>
    </row>
    <row r="1343" spans="1:2" ht="23.25" thickBot="1">
      <c r="A1343" s="383">
        <v>2329</v>
      </c>
      <c r="B1343" s="625" t="s">
        <v>1864</v>
      </c>
    </row>
    <row r="1344" spans="1:2" ht="23.25" thickBot="1">
      <c r="A1344" s="383">
        <v>2330</v>
      </c>
      <c r="B1344" s="625" t="s">
        <v>1865</v>
      </c>
    </row>
    <row r="1345" spans="1:2" ht="23.25" thickBot="1">
      <c r="A1345" s="383">
        <v>2331</v>
      </c>
      <c r="B1345" s="625" t="s">
        <v>1866</v>
      </c>
    </row>
    <row r="1346" spans="1:2" ht="15.75" thickBot="1">
      <c r="A1346" s="383">
        <v>2332</v>
      </c>
      <c r="B1346" s="637" t="s">
        <v>1867</v>
      </c>
    </row>
    <row r="1347" spans="1:2" ht="23.25" thickBot="1">
      <c r="A1347" s="383">
        <v>2333</v>
      </c>
      <c r="B1347" s="625" t="s">
        <v>1868</v>
      </c>
    </row>
    <row r="1348" spans="1:2" ht="42.75" thickBot="1">
      <c r="A1348" s="383">
        <v>2334</v>
      </c>
      <c r="B1348" s="629" t="s">
        <v>1869</v>
      </c>
    </row>
    <row r="1349" spans="1:2" ht="23.25" thickBot="1">
      <c r="A1349" s="383">
        <v>2335</v>
      </c>
      <c r="B1349" s="625" t="s">
        <v>1870</v>
      </c>
    </row>
    <row r="1350" spans="1:2" ht="15.75" thickBot="1">
      <c r="A1350" s="383">
        <v>2336</v>
      </c>
      <c r="B1350" s="625" t="s">
        <v>1871</v>
      </c>
    </row>
    <row r="1351" spans="1:2" ht="15.75" thickBot="1">
      <c r="A1351" s="383">
        <v>2337</v>
      </c>
      <c r="B1351" s="620" t="s">
        <v>1872</v>
      </c>
    </row>
    <row r="1352" spans="1:2" ht="15.75" thickBot="1">
      <c r="A1352" s="383">
        <v>2338</v>
      </c>
      <c r="B1352" s="620" t="s">
        <v>1873</v>
      </c>
    </row>
    <row r="1353" spans="1:2" ht="15.75" thickBot="1">
      <c r="A1353" s="383">
        <v>2339</v>
      </c>
      <c r="B1353" s="620" t="s">
        <v>1874</v>
      </c>
    </row>
    <row r="1354" spans="1:2" ht="23.25" thickBot="1">
      <c r="A1354" s="383">
        <v>2340</v>
      </c>
      <c r="B1354" s="625" t="s">
        <v>1875</v>
      </c>
    </row>
    <row r="1355" spans="1:2" ht="15.75" thickBot="1">
      <c r="A1355" s="383">
        <v>2341</v>
      </c>
      <c r="B1355" s="620" t="s">
        <v>1876</v>
      </c>
    </row>
    <row r="1356" spans="1:2" ht="16.5" thickBot="1">
      <c r="A1356" s="383">
        <v>2342</v>
      </c>
      <c r="B1356" s="620" t="s">
        <v>1877</v>
      </c>
    </row>
    <row r="1357" spans="1:2" ht="15.75" thickBot="1">
      <c r="A1357" s="383">
        <v>2343</v>
      </c>
      <c r="B1357" s="622" t="s">
        <v>1878</v>
      </c>
    </row>
    <row r="1358" spans="1:2" ht="15.75" thickBot="1">
      <c r="A1358" s="383">
        <v>2344</v>
      </c>
      <c r="B1358" s="622" t="s">
        <v>1879</v>
      </c>
    </row>
    <row r="1359" spans="1:2" ht="15.75" thickBot="1">
      <c r="A1359" s="383">
        <v>2345</v>
      </c>
      <c r="B1359" s="637" t="s">
        <v>1880</v>
      </c>
    </row>
    <row r="1360" spans="1:2" ht="15.75" thickBot="1">
      <c r="A1360" s="383">
        <v>2346</v>
      </c>
      <c r="B1360" s="627" t="s">
        <v>1881</v>
      </c>
    </row>
    <row r="1361" spans="1:2" ht="15.75" thickBot="1">
      <c r="A1361" s="383">
        <v>2347</v>
      </c>
      <c r="B1361" s="627" t="s">
        <v>1882</v>
      </c>
    </row>
    <row r="1362" spans="1:2" ht="16.5" thickBot="1">
      <c r="A1362" s="383">
        <v>2348</v>
      </c>
      <c r="B1362" s="645" t="s">
        <v>1878</v>
      </c>
    </row>
    <row r="1363" spans="1:2" ht="15.75" thickBot="1">
      <c r="A1363" s="383">
        <v>2349</v>
      </c>
      <c r="B1363" s="620" t="s">
        <v>1883</v>
      </c>
    </row>
    <row r="1364" spans="1:2" ht="15.75" thickBot="1">
      <c r="A1364" s="383">
        <v>2350</v>
      </c>
      <c r="B1364" s="620" t="s">
        <v>1884</v>
      </c>
    </row>
    <row r="1365" spans="1:2" ht="15.75" thickBot="1">
      <c r="A1365" s="383">
        <v>2351</v>
      </c>
      <c r="B1365" s="620" t="s">
        <v>1885</v>
      </c>
    </row>
    <row r="1366" spans="1:2" ht="15.75" thickBot="1">
      <c r="A1366" s="383">
        <v>2352</v>
      </c>
      <c r="B1366" s="639" t="s">
        <v>1886</v>
      </c>
    </row>
    <row r="1367" spans="1:2" ht="15.75" thickBot="1">
      <c r="A1367" s="383">
        <v>2353</v>
      </c>
      <c r="B1367" s="643" t="s">
        <v>1887</v>
      </c>
    </row>
    <row r="1368" spans="1:2" ht="15.75" thickBot="1">
      <c r="A1368" s="383">
        <v>2354</v>
      </c>
      <c r="B1368" s="637" t="s">
        <v>1888</v>
      </c>
    </row>
    <row r="1369" spans="1:2" ht="15.75" thickBot="1">
      <c r="A1369" s="383">
        <v>2355</v>
      </c>
      <c r="B1369" s="637" t="s">
        <v>1889</v>
      </c>
    </row>
    <row r="1370" spans="1:2" ht="15.75" thickBot="1">
      <c r="A1370" s="383">
        <v>2356</v>
      </c>
      <c r="B1370" s="639" t="s">
        <v>1890</v>
      </c>
    </row>
    <row r="1371" spans="1:2" ht="15.75" thickBot="1">
      <c r="A1371" s="383">
        <v>2357</v>
      </c>
      <c r="B1371" s="639" t="s">
        <v>1891</v>
      </c>
    </row>
    <row r="1372" spans="1:2" ht="15.75" thickBot="1">
      <c r="A1372" s="383">
        <v>2358</v>
      </c>
      <c r="B1372" s="639" t="s">
        <v>1892</v>
      </c>
    </row>
    <row r="1373" spans="1:2" ht="15.75" thickBot="1">
      <c r="A1373" s="383">
        <v>2359</v>
      </c>
      <c r="B1373" s="640" t="s">
        <v>1893</v>
      </c>
    </row>
    <row r="1374" spans="1:2" ht="15.75" thickBot="1">
      <c r="A1374" s="383">
        <v>2360</v>
      </c>
      <c r="B1374" s="625" t="s">
        <v>1894</v>
      </c>
    </row>
    <row r="1375" spans="1:2" ht="15.75" thickBot="1">
      <c r="A1375" s="383">
        <v>2361</v>
      </c>
      <c r="B1375" s="640" t="s">
        <v>1625</v>
      </c>
    </row>
    <row r="1376" spans="1:2" ht="15.75" thickBot="1">
      <c r="A1376" s="383">
        <v>2362</v>
      </c>
      <c r="B1376" s="625" t="s">
        <v>1895</v>
      </c>
    </row>
    <row r="1377" spans="1:2" ht="15.75" thickBot="1">
      <c r="A1377" s="383">
        <v>2363</v>
      </c>
      <c r="B1377" s="640" t="s">
        <v>1896</v>
      </c>
    </row>
    <row r="1378" spans="1:2" ht="23.25" thickBot="1">
      <c r="A1378" s="383">
        <v>2364</v>
      </c>
      <c r="B1378" s="625" t="s">
        <v>1897</v>
      </c>
    </row>
    <row r="1379" spans="1:2" ht="15.75" thickBot="1">
      <c r="A1379" s="383">
        <v>2365</v>
      </c>
      <c r="B1379" s="640" t="s">
        <v>1898</v>
      </c>
    </row>
    <row r="1380" spans="1:2" ht="23.25" thickBot="1">
      <c r="A1380" s="383">
        <v>2366</v>
      </c>
      <c r="B1380" s="625" t="s">
        <v>1899</v>
      </c>
    </row>
    <row r="1381" spans="1:2" ht="15.75" thickBot="1">
      <c r="A1381" s="383">
        <v>2367</v>
      </c>
      <c r="B1381" s="640" t="s">
        <v>1900</v>
      </c>
    </row>
    <row r="1382" spans="1:2" ht="23.25" thickBot="1">
      <c r="A1382" s="383">
        <v>2368</v>
      </c>
      <c r="B1382" s="625" t="s">
        <v>1901</v>
      </c>
    </row>
    <row r="1383" spans="1:2" ht="15.75" thickBot="1">
      <c r="A1383" s="383">
        <v>2369</v>
      </c>
      <c r="B1383" s="640" t="s">
        <v>1902</v>
      </c>
    </row>
    <row r="1384" spans="1:2" ht="15.75" thickBot="1">
      <c r="A1384" s="383">
        <v>2370</v>
      </c>
      <c r="B1384" s="625" t="s">
        <v>1903</v>
      </c>
    </row>
    <row r="1385" spans="1:2" ht="15.75" thickBot="1">
      <c r="A1385" s="383">
        <v>2371</v>
      </c>
      <c r="B1385" s="640" t="s">
        <v>1904</v>
      </c>
    </row>
    <row r="1386" spans="1:2" ht="34.5" thickBot="1">
      <c r="A1386" s="383">
        <v>2372</v>
      </c>
      <c r="B1386" s="625" t="s">
        <v>1905</v>
      </c>
    </row>
    <row r="1387" spans="1:2" ht="15.75" thickBot="1">
      <c r="A1387" s="383">
        <v>2373</v>
      </c>
      <c r="B1387" s="640" t="s">
        <v>29</v>
      </c>
    </row>
    <row r="1388" spans="1:2" ht="23.25" thickBot="1">
      <c r="A1388" s="383">
        <v>2374</v>
      </c>
      <c r="B1388" s="625" t="s">
        <v>1906</v>
      </c>
    </row>
    <row r="1389" spans="1:2" ht="15.75" thickBot="1">
      <c r="A1389" s="383">
        <v>2375</v>
      </c>
      <c r="B1389" s="640" t="s">
        <v>1907</v>
      </c>
    </row>
    <row r="1390" spans="1:2" ht="23.25" thickBot="1">
      <c r="A1390" s="383">
        <v>2376</v>
      </c>
      <c r="B1390" s="625" t="s">
        <v>1908</v>
      </c>
    </row>
    <row r="1391" spans="1:2" ht="15.75" thickBot="1">
      <c r="A1391" s="383">
        <v>2377</v>
      </c>
      <c r="B1391" s="625" t="s">
        <v>1909</v>
      </c>
    </row>
    <row r="1392" spans="1:2" ht="45.75" thickBot="1">
      <c r="A1392" s="383">
        <v>2378</v>
      </c>
      <c r="B1392" s="625" t="s">
        <v>1910</v>
      </c>
    </row>
    <row r="1393" spans="1:2" ht="15.75" thickBot="1">
      <c r="A1393" s="383">
        <v>2379</v>
      </c>
      <c r="B1393" s="640" t="s">
        <v>1911</v>
      </c>
    </row>
    <row r="1394" spans="1:2" ht="15.75" thickBot="1">
      <c r="A1394" s="383">
        <v>2380</v>
      </c>
      <c r="B1394" s="625" t="s">
        <v>1912</v>
      </c>
    </row>
    <row r="1395" spans="1:2" ht="15.75" thickBot="1">
      <c r="A1395" s="383">
        <v>2381</v>
      </c>
      <c r="B1395" s="640" t="s">
        <v>1913</v>
      </c>
    </row>
    <row r="1396" spans="1:2" ht="15.75" thickBot="1">
      <c r="A1396" s="383">
        <v>2382</v>
      </c>
      <c r="B1396" s="625" t="s">
        <v>1914</v>
      </c>
    </row>
    <row r="1397" spans="1:2" ht="15.75" thickBot="1">
      <c r="A1397" s="383">
        <v>2383</v>
      </c>
      <c r="B1397" s="640" t="s">
        <v>1915</v>
      </c>
    </row>
    <row r="1398" spans="1:2" ht="23.25" thickBot="1">
      <c r="A1398" s="383">
        <v>2384</v>
      </c>
      <c r="B1398" s="625" t="s">
        <v>1916</v>
      </c>
    </row>
    <row r="1399" spans="1:2" ht="15.75" thickBot="1">
      <c r="A1399" s="383">
        <v>2385</v>
      </c>
      <c r="B1399" s="640" t="s">
        <v>1917</v>
      </c>
    </row>
    <row r="1400" spans="1:2" ht="34.5" thickBot="1">
      <c r="A1400" s="383">
        <v>2386</v>
      </c>
      <c r="B1400" s="625" t="s">
        <v>1918</v>
      </c>
    </row>
    <row r="1401" spans="1:2" ht="15.75" thickBot="1">
      <c r="A1401" s="383">
        <v>2387</v>
      </c>
      <c r="B1401" s="637" t="s">
        <v>1919</v>
      </c>
    </row>
    <row r="1402" spans="1:2" ht="15.75" thickBot="1">
      <c r="A1402" s="383">
        <v>2388</v>
      </c>
      <c r="B1402" s="637" t="s">
        <v>1685</v>
      </c>
    </row>
    <row r="1403" spans="1:2" ht="15.75" thickBot="1">
      <c r="A1403" s="383">
        <v>2389</v>
      </c>
      <c r="B1403" s="639" t="s">
        <v>1920</v>
      </c>
    </row>
    <row r="1404" spans="1:2" ht="15.75" thickBot="1">
      <c r="A1404" s="383">
        <v>2390</v>
      </c>
      <c r="B1404" s="639" t="s">
        <v>1921</v>
      </c>
    </row>
    <row r="1405" spans="1:2" ht="15.75" thickBot="1">
      <c r="A1405" s="383">
        <v>2391</v>
      </c>
      <c r="B1405" s="639" t="s">
        <v>1922</v>
      </c>
    </row>
    <row r="1406" spans="1:2" ht="15.75" thickBot="1">
      <c r="A1406" s="383">
        <v>2392</v>
      </c>
      <c r="B1406" s="639" t="s">
        <v>1909</v>
      </c>
    </row>
    <row r="1407" spans="1:2" ht="15.75" thickBot="1">
      <c r="A1407" s="383">
        <v>2393</v>
      </c>
      <c r="B1407" s="639" t="s">
        <v>1923</v>
      </c>
    </row>
    <row r="1408" spans="1:2" ht="16.5" thickBot="1">
      <c r="A1408" s="383">
        <v>2394</v>
      </c>
      <c r="B1408" s="645" t="s">
        <v>1924</v>
      </c>
    </row>
    <row r="1409" spans="1:2" ht="45.75" thickBot="1">
      <c r="A1409" s="383">
        <v>2395</v>
      </c>
      <c r="B1409" s="625" t="s">
        <v>1925</v>
      </c>
    </row>
    <row r="1410" spans="1:2" ht="23.25" thickBot="1">
      <c r="A1410" s="383">
        <v>2396</v>
      </c>
      <c r="B1410" s="625" t="s">
        <v>1926</v>
      </c>
    </row>
    <row r="1411" spans="1:2" ht="15.75" thickBot="1">
      <c r="A1411" s="383">
        <v>2397</v>
      </c>
      <c r="B1411" s="625" t="s">
        <v>1927</v>
      </c>
    </row>
    <row r="1412" spans="1:2" ht="129" thickBot="1">
      <c r="A1412" s="383">
        <v>2398</v>
      </c>
      <c r="B1412" s="646" t="s">
        <v>1928</v>
      </c>
    </row>
    <row r="1413" spans="1:2" ht="15.75" thickBot="1">
      <c r="A1413" s="383">
        <v>2399</v>
      </c>
      <c r="B1413" s="643" t="s">
        <v>1929</v>
      </c>
    </row>
    <row r="1414" spans="1:2" ht="23.25" thickBot="1">
      <c r="A1414" s="383">
        <v>2400</v>
      </c>
      <c r="B1414" s="625" t="s">
        <v>1930</v>
      </c>
    </row>
    <row r="1415" spans="1:2" ht="15.75" thickBot="1">
      <c r="A1415" s="383">
        <v>2401</v>
      </c>
      <c r="B1415" s="637" t="s">
        <v>1931</v>
      </c>
    </row>
    <row r="1416" spans="1:2" ht="34.5" thickBot="1">
      <c r="A1416" s="383">
        <v>2402</v>
      </c>
      <c r="B1416" s="625" t="s">
        <v>1932</v>
      </c>
    </row>
    <row r="1417" spans="1:2" ht="15.75" thickBot="1">
      <c r="A1417" s="383">
        <v>2403</v>
      </c>
      <c r="B1417" s="637" t="s">
        <v>1933</v>
      </c>
    </row>
    <row r="1418" spans="1:2" ht="34.5" thickBot="1">
      <c r="A1418" s="383">
        <v>2404</v>
      </c>
      <c r="B1418" s="625" t="s">
        <v>1934</v>
      </c>
    </row>
    <row r="1419" spans="1:2" ht="15.75" thickBot="1">
      <c r="A1419" s="383">
        <v>2405</v>
      </c>
      <c r="B1419" s="643" t="s">
        <v>1935</v>
      </c>
    </row>
    <row r="1420" spans="1:2" ht="15.75" thickBot="1">
      <c r="A1420" s="383">
        <v>2406</v>
      </c>
      <c r="B1420" s="637" t="s">
        <v>1936</v>
      </c>
    </row>
    <row r="1421" spans="1:2" ht="34.5" thickBot="1">
      <c r="A1421" s="383">
        <v>2407</v>
      </c>
      <c r="B1421" s="625" t="s">
        <v>1937</v>
      </c>
    </row>
    <row r="1422" spans="1:2" ht="45.75" thickBot="1">
      <c r="A1422" s="383">
        <v>2408</v>
      </c>
      <c r="B1422" s="625" t="s">
        <v>1938</v>
      </c>
    </row>
    <row r="1423" spans="1:2" ht="23.25" thickBot="1">
      <c r="A1423" s="383">
        <v>2409</v>
      </c>
      <c r="B1423" s="625" t="s">
        <v>1939</v>
      </c>
    </row>
    <row r="1424" spans="1:2" ht="15.75" thickBot="1">
      <c r="A1424" s="383">
        <v>2410</v>
      </c>
      <c r="B1424" s="639" t="s">
        <v>520</v>
      </c>
    </row>
    <row r="1425" spans="1:2" ht="15.75" thickBot="1">
      <c r="A1425" s="383">
        <v>2411</v>
      </c>
      <c r="B1425" s="639" t="s">
        <v>1940</v>
      </c>
    </row>
    <row r="1426" spans="1:2" ht="15.75" thickBot="1">
      <c r="A1426" s="383">
        <v>2412</v>
      </c>
      <c r="B1426" s="637" t="s">
        <v>1941</v>
      </c>
    </row>
    <row r="1427" spans="1:2" ht="34.5" thickBot="1">
      <c r="A1427" s="383">
        <v>2413</v>
      </c>
      <c r="B1427" s="625" t="s">
        <v>1942</v>
      </c>
    </row>
    <row r="1428" spans="1:2" ht="15.75" thickBot="1">
      <c r="A1428" s="383">
        <v>2414</v>
      </c>
      <c r="B1428" s="625" t="s">
        <v>1943</v>
      </c>
    </row>
    <row r="1429" spans="1:2" ht="34.5" thickBot="1">
      <c r="A1429" s="383">
        <v>2415</v>
      </c>
      <c r="B1429" s="625" t="s">
        <v>1944</v>
      </c>
    </row>
    <row r="1430" spans="1:2" ht="15.75" thickBot="1">
      <c r="A1430" s="383">
        <v>2416</v>
      </c>
      <c r="B1430" s="647" t="s">
        <v>1945</v>
      </c>
    </row>
    <row r="1431" spans="1:2" ht="15.75" thickBot="1">
      <c r="A1431" s="383">
        <v>2417</v>
      </c>
      <c r="B1431" s="634" t="s">
        <v>1946</v>
      </c>
    </row>
    <row r="1432" spans="1:2" ht="15.75" thickBot="1">
      <c r="A1432" s="383">
        <v>2418</v>
      </c>
      <c r="B1432" s="634" t="s">
        <v>1947</v>
      </c>
    </row>
    <row r="1433" spans="1:2" ht="15.75" thickBot="1">
      <c r="A1433" s="383">
        <v>2419</v>
      </c>
      <c r="B1433" s="634" t="s">
        <v>1948</v>
      </c>
    </row>
    <row r="1434" spans="1:2" ht="15.75" thickBot="1">
      <c r="A1434" s="383">
        <v>2420</v>
      </c>
      <c r="B1434" s="648" t="s">
        <v>1949</v>
      </c>
    </row>
    <row r="1435" spans="1:2" ht="15.75" thickBot="1">
      <c r="A1435" s="383">
        <v>2421</v>
      </c>
      <c r="B1435" s="648" t="s">
        <v>1950</v>
      </c>
    </row>
    <row r="1436" spans="1:2" ht="15.75" thickBot="1">
      <c r="A1436" s="383">
        <v>2422</v>
      </c>
      <c r="B1436" s="648" t="s">
        <v>1951</v>
      </c>
    </row>
    <row r="1437" spans="1:2" ht="15.75" thickBot="1">
      <c r="A1437" s="383">
        <v>2423</v>
      </c>
      <c r="B1437" s="648" t="s">
        <v>1952</v>
      </c>
    </row>
    <row r="1438" spans="1:2" ht="15.75" thickBot="1">
      <c r="A1438" s="383">
        <v>2424</v>
      </c>
      <c r="B1438" s="648" t="s">
        <v>1953</v>
      </c>
    </row>
    <row r="1439" spans="1:2" ht="15.75" thickBot="1">
      <c r="A1439" s="383">
        <v>2425</v>
      </c>
      <c r="B1439" s="648" t="s">
        <v>1954</v>
      </c>
    </row>
    <row r="1440" spans="1:2" ht="15.75" thickBot="1">
      <c r="A1440" s="383">
        <v>2426</v>
      </c>
      <c r="B1440" s="649" t="s">
        <v>1955</v>
      </c>
    </row>
    <row r="1441" spans="1:2" ht="15.75" thickBot="1">
      <c r="A1441" s="383">
        <v>2427</v>
      </c>
      <c r="B1441" s="648" t="s">
        <v>1956</v>
      </c>
    </row>
    <row r="1442" spans="1:2" ht="15.75" thickBot="1">
      <c r="A1442" s="383">
        <v>2428</v>
      </c>
      <c r="B1442" s="648" t="s">
        <v>1957</v>
      </c>
    </row>
    <row r="1443" spans="1:2" ht="15.75" thickBot="1">
      <c r="A1443" s="383">
        <v>2429</v>
      </c>
      <c r="B1443" s="648" t="s">
        <v>1958</v>
      </c>
    </row>
    <row r="1444" spans="1:2" ht="15.75" thickBot="1">
      <c r="A1444" s="383">
        <v>2430</v>
      </c>
      <c r="B1444" s="648" t="s">
        <v>1959</v>
      </c>
    </row>
    <row r="1445" spans="1:2" ht="15.75" thickBot="1">
      <c r="A1445" s="383">
        <v>2431</v>
      </c>
      <c r="B1445" s="648" t="s">
        <v>1960</v>
      </c>
    </row>
    <row r="1446" spans="1:2" ht="15.75" thickBot="1">
      <c r="A1446" s="383">
        <v>2432</v>
      </c>
      <c r="B1446" s="648" t="s">
        <v>1961</v>
      </c>
    </row>
    <row r="1447" spans="1:2" ht="15.75" thickBot="1">
      <c r="A1447" s="383">
        <v>2433</v>
      </c>
      <c r="B1447" s="648" t="s">
        <v>1962</v>
      </c>
    </row>
    <row r="1448" spans="1:2" ht="15.75" thickBot="1">
      <c r="A1448" s="383">
        <v>2434</v>
      </c>
      <c r="B1448" s="648" t="s">
        <v>1963</v>
      </c>
    </row>
    <row r="1449" spans="1:2" ht="15.75" thickBot="1">
      <c r="A1449" s="383">
        <v>2435</v>
      </c>
      <c r="B1449" s="648" t="s">
        <v>1964</v>
      </c>
    </row>
    <row r="1450" spans="1:2" ht="15.75" thickBot="1">
      <c r="A1450" s="383">
        <v>2436</v>
      </c>
      <c r="B1450" s="648" t="s">
        <v>1965</v>
      </c>
    </row>
    <row r="1451" spans="1:2" ht="15.75" thickBot="1">
      <c r="A1451" s="383">
        <v>2437</v>
      </c>
      <c r="B1451" s="648" t="s">
        <v>1966</v>
      </c>
    </row>
    <row r="1452" spans="1:2" ht="15.75" thickBot="1">
      <c r="A1452" s="383">
        <v>2438</v>
      </c>
      <c r="B1452" s="649" t="s">
        <v>1967</v>
      </c>
    </row>
    <row r="1453" spans="1:2" ht="15.75" thickBot="1">
      <c r="A1453" s="383">
        <v>2439</v>
      </c>
      <c r="B1453" s="649" t="s">
        <v>1968</v>
      </c>
    </row>
    <row r="1454" spans="1:2" ht="15.75" thickBot="1">
      <c r="A1454" s="383">
        <v>2440</v>
      </c>
      <c r="B1454" s="648" t="s">
        <v>1969</v>
      </c>
    </row>
    <row r="1455" spans="1:2" ht="15.75" thickBot="1">
      <c r="A1455" s="383">
        <v>2441</v>
      </c>
      <c r="B1455" s="648" t="s">
        <v>1970</v>
      </c>
    </row>
    <row r="1456" spans="1:2" ht="15.75" thickBot="1">
      <c r="A1456" s="383">
        <v>2442</v>
      </c>
      <c r="B1456" s="648" t="s">
        <v>1971</v>
      </c>
    </row>
    <row r="1457" spans="1:2" ht="15.75" thickBot="1">
      <c r="A1457" s="383">
        <v>2443</v>
      </c>
      <c r="B1457" s="648" t="s">
        <v>1972</v>
      </c>
    </row>
    <row r="1458" spans="1:2" ht="15.75" thickBot="1">
      <c r="A1458" s="383">
        <v>2444</v>
      </c>
      <c r="B1458" s="649" t="s">
        <v>1973</v>
      </c>
    </row>
    <row r="1459" spans="1:2" ht="15.75" thickBot="1">
      <c r="A1459" s="383">
        <v>2445</v>
      </c>
      <c r="B1459" s="649" t="s">
        <v>1974</v>
      </c>
    </row>
    <row r="1460" spans="1:2" ht="15.75" thickBot="1">
      <c r="A1460" s="383">
        <v>2446</v>
      </c>
      <c r="B1460" s="649" t="s">
        <v>1975</v>
      </c>
    </row>
    <row r="1461" spans="1:2" ht="15.75" thickBot="1">
      <c r="A1461" s="383">
        <v>2447</v>
      </c>
      <c r="B1461" s="649" t="s">
        <v>1976</v>
      </c>
    </row>
    <row r="1462" spans="1:2" ht="15.75" thickBot="1">
      <c r="A1462" s="383">
        <v>2448</v>
      </c>
      <c r="B1462" s="649" t="s">
        <v>1977</v>
      </c>
    </row>
    <row r="1463" spans="1:2" ht="15.75" thickBot="1">
      <c r="A1463" s="383">
        <v>2449</v>
      </c>
      <c r="B1463" s="649" t="s">
        <v>1978</v>
      </c>
    </row>
    <row r="1464" spans="1:2" ht="15.75" thickBot="1">
      <c r="A1464" s="383">
        <v>2450</v>
      </c>
      <c r="B1464" s="649" t="s">
        <v>1979</v>
      </c>
    </row>
    <row r="1465" spans="1:2" ht="15.75" thickBot="1">
      <c r="A1465" s="383">
        <v>2451</v>
      </c>
      <c r="B1465" s="649" t="s">
        <v>1980</v>
      </c>
    </row>
    <row r="1466" spans="1:2" ht="15.75" thickBot="1">
      <c r="A1466" s="383">
        <v>2452</v>
      </c>
      <c r="B1466" s="649" t="s">
        <v>1981</v>
      </c>
    </row>
    <row r="1467" spans="1:2" ht="15.75" thickBot="1">
      <c r="A1467" s="383">
        <v>2453</v>
      </c>
      <c r="B1467" s="649" t="s">
        <v>1982</v>
      </c>
    </row>
    <row r="1468" spans="1:2" ht="15.75" thickBot="1">
      <c r="A1468" s="383">
        <v>2454</v>
      </c>
      <c r="B1468" s="649" t="s">
        <v>1983</v>
      </c>
    </row>
    <row r="1469" spans="1:2" ht="15.75" thickBot="1">
      <c r="A1469" s="383">
        <v>2455</v>
      </c>
      <c r="B1469" s="649" t="s">
        <v>1984</v>
      </c>
    </row>
    <row r="1470" spans="1:2" ht="15.75" thickBot="1">
      <c r="A1470" s="383">
        <v>2456</v>
      </c>
      <c r="B1470" s="649" t="s">
        <v>1985</v>
      </c>
    </row>
    <row r="1471" spans="1:2" ht="15.75" thickBot="1">
      <c r="A1471" s="383">
        <v>2457</v>
      </c>
      <c r="B1471" s="649" t="s">
        <v>1986</v>
      </c>
    </row>
    <row r="1472" spans="1:2" ht="15.75" thickBot="1">
      <c r="A1472" s="383">
        <v>2458</v>
      </c>
      <c r="B1472" s="649" t="s">
        <v>1987</v>
      </c>
    </row>
    <row r="1473" spans="1:2" ht="15.75" thickBot="1">
      <c r="A1473" s="383">
        <v>2459</v>
      </c>
      <c r="B1473" s="649" t="s">
        <v>1988</v>
      </c>
    </row>
    <row r="1474" spans="1:2" ht="15.75" thickBot="1">
      <c r="A1474" s="383">
        <v>2460</v>
      </c>
      <c r="B1474" s="649" t="s">
        <v>1989</v>
      </c>
    </row>
    <row r="1475" spans="1:2" ht="15.75" thickBot="1">
      <c r="A1475" s="383">
        <v>2461</v>
      </c>
      <c r="B1475" s="649" t="s">
        <v>1990</v>
      </c>
    </row>
    <row r="1476" spans="1:2" ht="15.75" thickBot="1">
      <c r="A1476" s="383">
        <v>2462</v>
      </c>
      <c r="B1476" s="649" t="s">
        <v>1991</v>
      </c>
    </row>
    <row r="1477" spans="1:2" ht="15.75" thickBot="1">
      <c r="A1477" s="383">
        <v>2463</v>
      </c>
      <c r="B1477" s="649" t="s">
        <v>1992</v>
      </c>
    </row>
    <row r="1478" spans="1:2" ht="15.75" thickBot="1">
      <c r="A1478" s="383">
        <v>2464</v>
      </c>
      <c r="B1478" s="649" t="s">
        <v>1993</v>
      </c>
    </row>
    <row r="1479" spans="1:2" ht="15.75" thickBot="1">
      <c r="A1479" s="383">
        <v>2465</v>
      </c>
      <c r="B1479" s="649" t="s">
        <v>1994</v>
      </c>
    </row>
    <row r="1480" spans="1:2" ht="15.75" thickBot="1">
      <c r="A1480" s="383">
        <v>2466</v>
      </c>
      <c r="B1480" s="649" t="s">
        <v>1995</v>
      </c>
    </row>
    <row r="1481" spans="1:2" ht="15.75" thickBot="1">
      <c r="A1481" s="581">
        <v>2467</v>
      </c>
      <c r="B1481" s="649" t="s">
        <v>650</v>
      </c>
    </row>
    <row r="1482" spans="1:2" ht="15.75" thickBot="1">
      <c r="A1482" s="581">
        <v>2468</v>
      </c>
      <c r="B1482" s="649" t="s">
        <v>651</v>
      </c>
    </row>
    <row r="1483" spans="1:2" ht="15.75" thickBot="1">
      <c r="A1483" s="581">
        <v>2469</v>
      </c>
      <c r="B1483" s="649" t="s">
        <v>849</v>
      </c>
    </row>
    <row r="1484" spans="1:2" ht="15.75" thickBot="1">
      <c r="A1484" s="581">
        <v>2470</v>
      </c>
      <c r="B1484" s="649" t="s">
        <v>863</v>
      </c>
    </row>
    <row r="1485" spans="1:2" ht="15.75" thickBot="1">
      <c r="A1485" s="581">
        <v>2471</v>
      </c>
      <c r="B1485" s="649" t="s">
        <v>890</v>
      </c>
    </row>
    <row r="1486" spans="1:2" ht="15.75" thickBot="1">
      <c r="A1486" s="581">
        <v>2472</v>
      </c>
      <c r="B1486" s="649" t="s">
        <v>895</v>
      </c>
    </row>
    <row r="1487" spans="1:2" ht="15.75" thickBot="1">
      <c r="A1487" s="581">
        <v>2473</v>
      </c>
      <c r="B1487" s="649" t="s">
        <v>896</v>
      </c>
    </row>
    <row r="1488" spans="1:2" ht="15.75" thickBot="1">
      <c r="A1488" s="581">
        <v>2474</v>
      </c>
      <c r="B1488" s="649" t="s">
        <v>1186</v>
      </c>
    </row>
    <row r="1489" spans="1:2" ht="15.75" thickBot="1">
      <c r="A1489" s="581">
        <v>2475</v>
      </c>
      <c r="B1489" s="649" t="s">
        <v>1536</v>
      </c>
    </row>
    <row r="1490" spans="1:2" ht="15.75" thickBot="1">
      <c r="A1490" s="581">
        <v>2476</v>
      </c>
      <c r="B1490" s="649" t="s">
        <v>1996</v>
      </c>
    </row>
    <row r="1491" spans="1:2" ht="15.75" thickBot="1">
      <c r="A1491" s="581">
        <v>2477</v>
      </c>
      <c r="B1491" s="649" t="s">
        <v>1997</v>
      </c>
    </row>
    <row r="1492" spans="1:6" ht="15">
      <c r="A1492" s="383">
        <v>3000</v>
      </c>
      <c r="B1492" s="650" t="s">
        <v>1998</v>
      </c>
      <c r="D1492" s="404"/>
      <c r="E1492" s="404"/>
      <c r="F1492" s="405"/>
    </row>
    <row r="1493" spans="1:6" ht="30">
      <c r="A1493" s="383">
        <v>3001</v>
      </c>
      <c r="B1493" s="651" t="s">
        <v>1999</v>
      </c>
      <c r="D1493" s="404"/>
      <c r="E1493" s="404"/>
      <c r="F1493" s="405"/>
    </row>
    <row r="1494" spans="1:6" ht="15">
      <c r="A1494" s="383">
        <v>3002</v>
      </c>
      <c r="B1494" s="651" t="s">
        <v>2000</v>
      </c>
      <c r="D1494" s="404"/>
      <c r="E1494" s="404"/>
      <c r="F1494" s="405"/>
    </row>
    <row r="1495" spans="1:2" ht="15">
      <c r="A1495" s="383">
        <v>3003</v>
      </c>
      <c r="B1495" s="652" t="s">
        <v>2001</v>
      </c>
    </row>
    <row r="1496" spans="1:2" ht="15">
      <c r="A1496" s="383">
        <v>3004</v>
      </c>
      <c r="B1496" s="652" t="s">
        <v>2002</v>
      </c>
    </row>
    <row r="1497" spans="1:2" ht="45">
      <c r="A1497" s="383">
        <v>3005</v>
      </c>
      <c r="B1497" s="652" t="s">
        <v>2003</v>
      </c>
    </row>
    <row r="1498" spans="1:2" ht="15">
      <c r="A1498" s="383">
        <v>3006</v>
      </c>
      <c r="B1498" s="652" t="s">
        <v>2004</v>
      </c>
    </row>
    <row r="1499" spans="1:2" ht="15">
      <c r="A1499" s="383">
        <v>3007</v>
      </c>
      <c r="B1499" s="652" t="s">
        <v>2005</v>
      </c>
    </row>
    <row r="1500" spans="1:2" ht="15">
      <c r="A1500" s="383">
        <v>3008</v>
      </c>
      <c r="B1500" s="652" t="s">
        <v>2006</v>
      </c>
    </row>
    <row r="1501" spans="1:2" ht="15">
      <c r="A1501" s="383">
        <v>3009</v>
      </c>
      <c r="B1501" s="652" t="s">
        <v>2007</v>
      </c>
    </row>
    <row r="1502" spans="1:2" ht="15">
      <c r="A1502" s="383">
        <v>3010</v>
      </c>
      <c r="B1502" s="652" t="s">
        <v>2008</v>
      </c>
    </row>
    <row r="1503" spans="1:2" ht="15.75">
      <c r="A1503" s="383">
        <v>3011</v>
      </c>
      <c r="B1503" s="653" t="s">
        <v>2009</v>
      </c>
    </row>
    <row r="1504" spans="1:2" ht="15.75">
      <c r="A1504" s="383">
        <v>3012</v>
      </c>
      <c r="B1504" s="653" t="s">
        <v>2010</v>
      </c>
    </row>
    <row r="1505" spans="1:4" ht="78.75">
      <c r="A1505" s="383">
        <v>3013</v>
      </c>
      <c r="B1505" s="654" t="s">
        <v>2108</v>
      </c>
      <c r="D1505" s="532"/>
    </row>
    <row r="1506" spans="1:4" ht="76.5">
      <c r="A1506" s="383">
        <v>3014</v>
      </c>
      <c r="B1506" s="655" t="s">
        <v>2011</v>
      </c>
      <c r="D1506" s="532"/>
    </row>
    <row r="1507" spans="1:4" ht="25.5">
      <c r="A1507" s="383">
        <v>3015</v>
      </c>
      <c r="B1507" s="656" t="s">
        <v>2012</v>
      </c>
      <c r="D1507" s="532"/>
    </row>
    <row r="1508" spans="1:4" ht="25.5">
      <c r="A1508" s="383">
        <v>3016</v>
      </c>
      <c r="B1508" s="656" t="s">
        <v>2013</v>
      </c>
      <c r="D1508" s="532"/>
    </row>
    <row r="1509" spans="1:4" ht="38.25">
      <c r="A1509" s="383">
        <v>3017</v>
      </c>
      <c r="B1509" s="656" t="s">
        <v>2014</v>
      </c>
      <c r="D1509" s="532"/>
    </row>
    <row r="1510" spans="1:4" ht="38.25">
      <c r="A1510" s="383">
        <v>3018</v>
      </c>
      <c r="B1510" s="655" t="s">
        <v>2015</v>
      </c>
      <c r="D1510" s="532"/>
    </row>
    <row r="1511" spans="1:4" ht="76.5">
      <c r="A1511" s="383">
        <v>3019</v>
      </c>
      <c r="B1511" s="656" t="s">
        <v>2016</v>
      </c>
      <c r="D1511" s="532"/>
    </row>
    <row r="1512" spans="1:4" ht="51">
      <c r="A1512" s="383">
        <v>3020</v>
      </c>
      <c r="B1512" s="655" t="s">
        <v>2017</v>
      </c>
      <c r="D1512" s="532"/>
    </row>
    <row r="1513" spans="1:4" ht="25.5">
      <c r="A1513" s="383">
        <v>3021</v>
      </c>
      <c r="B1513" s="656" t="s">
        <v>2018</v>
      </c>
      <c r="D1513" s="532"/>
    </row>
    <row r="1514" spans="1:4" ht="38.25">
      <c r="A1514" s="383">
        <v>3022</v>
      </c>
      <c r="B1514" s="656" t="s">
        <v>2019</v>
      </c>
      <c r="D1514" s="532"/>
    </row>
    <row r="1515" spans="1:4" ht="51">
      <c r="A1515" s="383">
        <v>3023</v>
      </c>
      <c r="B1515" s="656" t="s">
        <v>2020</v>
      </c>
      <c r="D1515" s="532"/>
    </row>
    <row r="1516" spans="1:4" ht="38.25">
      <c r="A1516" s="383">
        <v>3024</v>
      </c>
      <c r="B1516" s="656" t="s">
        <v>2021</v>
      </c>
      <c r="D1516" s="532"/>
    </row>
    <row r="1517" spans="1:4" ht="63.75">
      <c r="A1517" s="383">
        <v>3025</v>
      </c>
      <c r="B1517" s="656" t="s">
        <v>2022</v>
      </c>
      <c r="D1517" s="532"/>
    </row>
    <row r="1518" spans="1:4" ht="15">
      <c r="A1518" s="383">
        <v>3026</v>
      </c>
      <c r="B1518" s="657" t="s">
        <v>2023</v>
      </c>
      <c r="D1518" s="532"/>
    </row>
    <row r="1519" spans="1:4" ht="45">
      <c r="A1519" s="383">
        <v>3027</v>
      </c>
      <c r="B1519" s="658" t="s">
        <v>2024</v>
      </c>
      <c r="D1519" s="532"/>
    </row>
    <row r="1520" spans="1:4" ht="25.5">
      <c r="A1520" s="383">
        <v>3028</v>
      </c>
      <c r="B1520" s="657" t="s">
        <v>2025</v>
      </c>
      <c r="D1520" s="532"/>
    </row>
    <row r="1521" spans="1:4" ht="15">
      <c r="A1521" s="383">
        <v>3029</v>
      </c>
      <c r="B1521" s="657" t="s">
        <v>2026</v>
      </c>
      <c r="D1521" s="532"/>
    </row>
    <row r="1522" spans="1:4" ht="22.5">
      <c r="A1522" s="383">
        <v>3030</v>
      </c>
      <c r="B1522" s="658" t="s">
        <v>2027</v>
      </c>
      <c r="D1522" s="532"/>
    </row>
    <row r="1523" spans="1:4" ht="33.75">
      <c r="A1523" s="383">
        <v>3031</v>
      </c>
      <c r="B1523" s="658" t="s">
        <v>2028</v>
      </c>
      <c r="D1523" s="532"/>
    </row>
    <row r="1524" spans="1:4" ht="31.5">
      <c r="A1524" s="383">
        <v>3032</v>
      </c>
      <c r="B1524" s="659" t="s">
        <v>2029</v>
      </c>
      <c r="D1524" s="532"/>
    </row>
    <row r="1525" spans="1:4" ht="15.75" thickBot="1">
      <c r="A1525" s="383">
        <v>3033</v>
      </c>
      <c r="B1525" s="660" t="s">
        <v>2030</v>
      </c>
      <c r="D1525" s="532"/>
    </row>
    <row r="1526" spans="1:4" ht="21">
      <c r="A1526" s="383">
        <v>3034</v>
      </c>
      <c r="B1526" s="659" t="s">
        <v>2031</v>
      </c>
      <c r="D1526" s="532"/>
    </row>
    <row r="1527" spans="1:4" ht="22.5">
      <c r="A1527" s="383">
        <v>3035</v>
      </c>
      <c r="B1527" s="658" t="s">
        <v>2032</v>
      </c>
      <c r="D1527" s="532"/>
    </row>
    <row r="1528" spans="1:4" ht="22.5">
      <c r="A1528" s="383">
        <v>3036</v>
      </c>
      <c r="B1528" s="658" t="s">
        <v>2033</v>
      </c>
      <c r="D1528" s="532"/>
    </row>
    <row r="1529" spans="1:4" ht="21">
      <c r="A1529" s="383">
        <v>3037</v>
      </c>
      <c r="B1529" s="659" t="s">
        <v>2034</v>
      </c>
      <c r="D1529" s="532"/>
    </row>
    <row r="1530" spans="1:4" ht="22.5">
      <c r="A1530" s="383">
        <v>3038</v>
      </c>
      <c r="B1530" s="658" t="s">
        <v>2035</v>
      </c>
      <c r="D1530" s="532"/>
    </row>
    <row r="1531" spans="1:4" ht="22.5">
      <c r="A1531" s="383">
        <v>3039</v>
      </c>
      <c r="B1531" s="658" t="s">
        <v>2036</v>
      </c>
      <c r="D1531" s="532"/>
    </row>
    <row r="1532" spans="1:4" ht="15">
      <c r="A1532" s="383">
        <v>3040</v>
      </c>
      <c r="B1532" s="657" t="s">
        <v>2037</v>
      </c>
      <c r="D1532" s="532"/>
    </row>
    <row r="1533" spans="1:4" ht="33.75">
      <c r="A1533" s="383">
        <v>3041</v>
      </c>
      <c r="B1533" s="658" t="s">
        <v>2038</v>
      </c>
      <c r="D1533" s="532"/>
    </row>
    <row r="1534" spans="1:4" ht="34.5" thickBot="1">
      <c r="A1534" s="383">
        <v>3042</v>
      </c>
      <c r="B1534" s="658" t="s">
        <v>2039</v>
      </c>
      <c r="D1534" s="532"/>
    </row>
    <row r="1535" spans="1:4" ht="15.75" thickBot="1">
      <c r="A1535" s="383">
        <v>3043</v>
      </c>
      <c r="B1535" s="661" t="s">
        <v>2040</v>
      </c>
      <c r="D1535" s="532"/>
    </row>
    <row r="1536" spans="1:4" ht="15.75" thickBot="1">
      <c r="A1536" s="383">
        <v>3044</v>
      </c>
      <c r="B1536" s="660" t="s">
        <v>2041</v>
      </c>
      <c r="D1536" s="532"/>
    </row>
    <row r="1537" spans="1:4" ht="15.75" thickBot="1">
      <c r="A1537" s="383">
        <v>3045</v>
      </c>
      <c r="B1537" s="660" t="s">
        <v>2042</v>
      </c>
      <c r="D1537" s="532"/>
    </row>
    <row r="1538" spans="1:4" ht="15.75" thickBot="1">
      <c r="A1538" s="383">
        <v>3046</v>
      </c>
      <c r="B1538" s="660" t="s">
        <v>2043</v>
      </c>
      <c r="D1538" s="532"/>
    </row>
    <row r="1539" spans="1:4" ht="15.75" thickBot="1">
      <c r="A1539" s="383">
        <v>3047</v>
      </c>
      <c r="B1539" s="660" t="s">
        <v>2044</v>
      </c>
      <c r="D1539" s="532"/>
    </row>
    <row r="1540" spans="1:4" ht="15.75" thickBot="1">
      <c r="A1540" s="383">
        <v>3048</v>
      </c>
      <c r="B1540" s="660" t="s">
        <v>2045</v>
      </c>
      <c r="D1540" s="532"/>
    </row>
    <row r="1541" spans="1:4" ht="15.75" thickBot="1">
      <c r="A1541" s="383">
        <v>3049</v>
      </c>
      <c r="B1541" s="660" t="s">
        <v>2046</v>
      </c>
      <c r="D1541" s="532"/>
    </row>
    <row r="1542" spans="1:4" ht="15.75" thickBot="1">
      <c r="A1542" s="383">
        <v>3050</v>
      </c>
      <c r="B1542" s="660" t="s">
        <v>2044</v>
      </c>
      <c r="D1542" s="532"/>
    </row>
    <row r="1543" spans="1:4" ht="21.75" thickBot="1">
      <c r="A1543" s="383">
        <v>3051</v>
      </c>
      <c r="B1543" s="659" t="s">
        <v>2047</v>
      </c>
      <c r="D1543" s="532"/>
    </row>
    <row r="1544" spans="1:4" ht="15.75" thickBot="1">
      <c r="A1544" s="383">
        <v>3052</v>
      </c>
      <c r="B1544" s="661" t="s">
        <v>2048</v>
      </c>
      <c r="D1544" s="532"/>
    </row>
    <row r="1545" spans="1:4" ht="15.75" thickBot="1">
      <c r="A1545" s="383">
        <v>3053</v>
      </c>
      <c r="B1545" s="660" t="s">
        <v>2049</v>
      </c>
      <c r="D1545" s="532"/>
    </row>
    <row r="1546" spans="1:4" ht="21">
      <c r="A1546" s="383">
        <v>3054</v>
      </c>
      <c r="B1546" s="659" t="s">
        <v>2050</v>
      </c>
      <c r="D1546" s="532"/>
    </row>
    <row r="1547" spans="1:4" ht="21.75" thickBot="1">
      <c r="A1547" s="383">
        <v>3055</v>
      </c>
      <c r="B1547" s="659" t="s">
        <v>2051</v>
      </c>
      <c r="D1547" s="532"/>
    </row>
    <row r="1548" spans="1:4" ht="15">
      <c r="A1548" s="383">
        <v>3056</v>
      </c>
      <c r="B1548" s="662" t="s">
        <v>2052</v>
      </c>
      <c r="D1548" s="532"/>
    </row>
    <row r="1549" spans="1:4" ht="18">
      <c r="A1549" s="383">
        <v>3057</v>
      </c>
      <c r="B1549" s="663" t="s">
        <v>2053</v>
      </c>
      <c r="D1549" s="532"/>
    </row>
    <row r="1550" spans="1:4" ht="15.75">
      <c r="A1550" s="383">
        <v>3058</v>
      </c>
      <c r="B1550" s="653" t="s">
        <v>2054</v>
      </c>
      <c r="D1550" s="532"/>
    </row>
    <row r="1551" spans="1:4" ht="25.5">
      <c r="A1551" s="383">
        <v>3059</v>
      </c>
      <c r="B1551" s="657" t="s">
        <v>2055</v>
      </c>
      <c r="D1551" s="532"/>
    </row>
    <row r="1552" spans="1:4" ht="22.5">
      <c r="A1552" s="383">
        <v>3060</v>
      </c>
      <c r="B1552" s="658" t="s">
        <v>2056</v>
      </c>
      <c r="D1552" s="532"/>
    </row>
    <row r="1553" spans="1:4" ht="25.5">
      <c r="A1553" s="383">
        <v>3061</v>
      </c>
      <c r="B1553" s="657" t="s">
        <v>2057</v>
      </c>
      <c r="D1553" s="532"/>
    </row>
    <row r="1554" spans="1:4" ht="22.5">
      <c r="A1554" s="383">
        <v>3062</v>
      </c>
      <c r="B1554" s="658" t="s">
        <v>2058</v>
      </c>
      <c r="D1554" s="532"/>
    </row>
    <row r="1555" spans="1:4" ht="15">
      <c r="A1555" s="383">
        <v>3063</v>
      </c>
      <c r="B1555" s="657" t="s">
        <v>2059</v>
      </c>
      <c r="D1555" s="532"/>
    </row>
    <row r="1556" spans="1:4" ht="22.5">
      <c r="A1556" s="383">
        <v>3064</v>
      </c>
      <c r="B1556" s="658" t="s">
        <v>2060</v>
      </c>
      <c r="D1556" s="532"/>
    </row>
    <row r="1557" spans="1:4" ht="34.5" thickBot="1">
      <c r="A1557" s="383">
        <v>3065</v>
      </c>
      <c r="B1557" s="658" t="s">
        <v>2061</v>
      </c>
      <c r="D1557" s="532"/>
    </row>
    <row r="1558" spans="1:4" ht="15">
      <c r="A1558" s="383">
        <v>3066</v>
      </c>
      <c r="B1558" s="662" t="s">
        <v>2062</v>
      </c>
      <c r="D1558" s="532"/>
    </row>
    <row r="1559" spans="1:4" ht="18">
      <c r="A1559" s="383">
        <v>3067</v>
      </c>
      <c r="B1559" s="663" t="s">
        <v>2063</v>
      </c>
      <c r="D1559" s="532"/>
    </row>
    <row r="1560" spans="1:4" ht="15.75">
      <c r="A1560" s="383">
        <v>3068</v>
      </c>
      <c r="B1560" s="653" t="s">
        <v>2064</v>
      </c>
      <c r="D1560" s="532"/>
    </row>
    <row r="1561" spans="1:4" ht="22.5">
      <c r="A1561" s="383">
        <v>3069</v>
      </c>
      <c r="B1561" s="658" t="s">
        <v>2065</v>
      </c>
      <c r="D1561" s="532"/>
    </row>
    <row r="1562" spans="1:4" ht="15">
      <c r="A1562" s="383">
        <v>3070</v>
      </c>
      <c r="B1562" s="657" t="s">
        <v>2066</v>
      </c>
      <c r="D1562" s="532"/>
    </row>
    <row r="1563" spans="1:4" ht="15">
      <c r="A1563" s="383">
        <v>3071</v>
      </c>
      <c r="B1563" s="664" t="s">
        <v>2067</v>
      </c>
      <c r="D1563" s="532"/>
    </row>
    <row r="1564" spans="1:4" ht="15">
      <c r="A1564" s="383">
        <v>3072</v>
      </c>
      <c r="B1564" s="664" t="s">
        <v>2068</v>
      </c>
      <c r="D1564" s="532"/>
    </row>
    <row r="1565" spans="1:4" ht="15.75" thickBot="1">
      <c r="A1565" s="383">
        <v>3073</v>
      </c>
      <c r="B1565" s="660" t="s">
        <v>2069</v>
      </c>
      <c r="D1565" s="532"/>
    </row>
    <row r="1566" spans="1:4" ht="15.75" thickBot="1">
      <c r="A1566" s="383">
        <v>3074</v>
      </c>
      <c r="B1566" s="665" t="s">
        <v>2070</v>
      </c>
      <c r="D1566" s="532"/>
    </row>
    <row r="1567" spans="1:4" ht="15">
      <c r="A1567" s="383">
        <v>3075</v>
      </c>
      <c r="B1567" s="666" t="s">
        <v>2071</v>
      </c>
      <c r="D1567" s="532"/>
    </row>
    <row r="1568" spans="1:4" ht="18">
      <c r="A1568" s="383">
        <v>3076</v>
      </c>
      <c r="B1568" s="663" t="s">
        <v>2072</v>
      </c>
      <c r="D1568" s="532"/>
    </row>
    <row r="1569" spans="1:4" ht="31.5">
      <c r="A1569" s="383">
        <v>3077</v>
      </c>
      <c r="B1569" s="653" t="s">
        <v>2073</v>
      </c>
      <c r="D1569" s="532"/>
    </row>
    <row r="1570" spans="1:4" ht="15.75">
      <c r="A1570" s="383">
        <v>3078</v>
      </c>
      <c r="B1570" s="653" t="s">
        <v>2074</v>
      </c>
      <c r="D1570" s="532"/>
    </row>
    <row r="1571" spans="1:4" ht="15">
      <c r="A1571" s="383">
        <v>3079</v>
      </c>
      <c r="B1571" s="651" t="s">
        <v>2075</v>
      </c>
      <c r="D1571" s="532"/>
    </row>
    <row r="1572" spans="1:2" ht="15">
      <c r="A1572" s="383">
        <v>3080</v>
      </c>
      <c r="B1572" s="667" t="s">
        <v>1759</v>
      </c>
    </row>
    <row r="1573" spans="1:2" ht="15">
      <c r="A1573" s="383">
        <v>3081</v>
      </c>
      <c r="B1573" s="667" t="s">
        <v>575</v>
      </c>
    </row>
    <row r="1574" spans="1:2" ht="15">
      <c r="A1574" s="383">
        <v>3082</v>
      </c>
      <c r="B1574" s="667" t="s">
        <v>2076</v>
      </c>
    </row>
    <row r="1575" spans="1:11" ht="22.5">
      <c r="A1575" s="383">
        <v>3083</v>
      </c>
      <c r="B1575" s="658" t="s">
        <v>2107</v>
      </c>
      <c r="D1575" s="533"/>
      <c r="E1575" s="533"/>
      <c r="F1575" s="533"/>
      <c r="G1575" s="533"/>
      <c r="H1575" s="533"/>
      <c r="I1575" s="533"/>
      <c r="J1575" s="533"/>
      <c r="K1575" s="533"/>
    </row>
    <row r="1576" spans="1:2" ht="15">
      <c r="A1576" s="383">
        <v>3084</v>
      </c>
      <c r="B1576" s="652" t="s">
        <v>2077</v>
      </c>
    </row>
    <row r="1577" spans="1:2" ht="45">
      <c r="A1577" s="383">
        <v>3085</v>
      </c>
      <c r="B1577" s="652" t="s">
        <v>2078</v>
      </c>
    </row>
    <row r="1578" spans="1:2" ht="45">
      <c r="A1578" s="383">
        <v>3086</v>
      </c>
      <c r="B1578" s="652" t="s">
        <v>2079</v>
      </c>
    </row>
    <row r="1579" spans="1:2" ht="60">
      <c r="A1579" s="383">
        <v>3087</v>
      </c>
      <c r="B1579" s="652" t="s">
        <v>2080</v>
      </c>
    </row>
    <row r="1580" spans="1:2" ht="30">
      <c r="A1580" s="383">
        <v>3088</v>
      </c>
      <c r="B1580" s="652" t="s">
        <v>2081</v>
      </c>
    </row>
    <row r="1581" spans="1:2" ht="15">
      <c r="A1581" s="383">
        <v>3089</v>
      </c>
      <c r="B1581" s="652" t="s">
        <v>2082</v>
      </c>
    </row>
    <row r="1582" spans="1:2" ht="15">
      <c r="A1582" s="383">
        <v>3090</v>
      </c>
      <c r="B1582" s="652" t="s">
        <v>2083</v>
      </c>
    </row>
    <row r="1583" spans="1:2" ht="30">
      <c r="A1583" s="383">
        <v>3091</v>
      </c>
      <c r="B1583" s="652" t="s">
        <v>2084</v>
      </c>
    </row>
    <row r="1584" spans="1:2" ht="45">
      <c r="A1584" s="383">
        <v>3092</v>
      </c>
      <c r="B1584" s="652" t="s">
        <v>2085</v>
      </c>
    </row>
    <row r="1585" spans="1:2" ht="15">
      <c r="A1585" s="383">
        <v>3093</v>
      </c>
      <c r="B1585" s="668" t="s">
        <v>2086</v>
      </c>
    </row>
    <row r="1586" spans="1:2" ht="15">
      <c r="A1586" s="383">
        <v>3094</v>
      </c>
      <c r="B1586" s="669" t="s">
        <v>2087</v>
      </c>
    </row>
    <row r="1587" spans="1:2" ht="15">
      <c r="A1587" s="383">
        <v>3095</v>
      </c>
      <c r="B1587" s="669" t="s">
        <v>2088</v>
      </c>
    </row>
    <row r="1588" spans="1:2" ht="15">
      <c r="A1588" s="383">
        <v>3096</v>
      </c>
      <c r="B1588" s="652" t="s">
        <v>2089</v>
      </c>
    </row>
    <row r="1589" spans="1:2" ht="30">
      <c r="A1589" s="383">
        <v>3097</v>
      </c>
      <c r="B1589" s="652" t="s">
        <v>2090</v>
      </c>
    </row>
    <row r="1590" spans="1:2" ht="45">
      <c r="A1590" s="383">
        <v>3098</v>
      </c>
      <c r="B1590" s="658" t="s">
        <v>2091</v>
      </c>
    </row>
    <row r="1591" spans="1:2" ht="45">
      <c r="A1591" s="383">
        <v>3099</v>
      </c>
      <c r="B1591" s="658" t="s">
        <v>2092</v>
      </c>
    </row>
    <row r="1592" spans="1:2" ht="22.5">
      <c r="A1592" s="383">
        <v>3100</v>
      </c>
      <c r="B1592" s="658" t="s">
        <v>2093</v>
      </c>
    </row>
    <row r="1593" spans="1:2" ht="30">
      <c r="A1593" s="383">
        <v>3101</v>
      </c>
      <c r="B1593" s="670" t="s">
        <v>2094</v>
      </c>
    </row>
    <row r="1594" spans="1:2" ht="54">
      <c r="A1594" s="383">
        <v>3102</v>
      </c>
      <c r="B1594" s="671" t="s">
        <v>2096</v>
      </c>
    </row>
    <row r="1595" spans="1:2" ht="15">
      <c r="A1595" s="383">
        <v>3103</v>
      </c>
      <c r="B1595" s="672" t="s">
        <v>2097</v>
      </c>
    </row>
  </sheetData>
  <sheetProtection sheet="1" objects="1" scenarios="1" formatCells="0" formatColumns="0" formatRows="0"/>
  <autoFilter ref="A1:C1595"/>
  <conditionalFormatting sqref="B337">
    <cfRule type="expression" priority="1" dxfId="0" stopIfTrue="1">
      <formula>CNTR_HasErrors_A</formula>
    </cfRule>
  </conditionalFormatting>
  <conditionalFormatting sqref="B713">
    <cfRule type="expression" priority="2" dxfId="0" stopIfTrue="1">
      <formula>Translations!#REF!</formula>
    </cfRule>
  </conditionalFormatting>
  <conditionalFormatting sqref="B342">
    <cfRule type="expression" priority="3" dxfId="0" stopIfTrue="1">
      <formula>$C$399</formula>
    </cfRule>
  </conditionalFormatting>
  <conditionalFormatting sqref="B672">
    <cfRule type="expression" priority="4" dxfId="0" stopIfTrue="1">
      <formula>$C$1109</formula>
    </cfRule>
  </conditionalFormatting>
  <conditionalFormatting sqref="B711">
    <cfRule type="expression" priority="5" dxfId="0" stopIfTrue="1">
      <formula>$C$555</formula>
    </cfRule>
  </conditionalFormatting>
  <conditionalFormatting sqref="B712">
    <cfRule type="expression" priority="6" dxfId="0" stopIfTrue="1">
      <formula>$C$550</formula>
    </cfRule>
  </conditionalFormatting>
  <conditionalFormatting sqref="B714">
    <cfRule type="expression" priority="7" dxfId="0" stopIfTrue="1">
      <formula>$C$551</formula>
    </cfRule>
  </conditionalFormatting>
  <conditionalFormatting sqref="B715">
    <cfRule type="expression" priority="8" dxfId="0" stopIfTrue="1">
      <formula>$C$552</formula>
    </cfRule>
  </conditionalFormatting>
  <conditionalFormatting sqref="B716">
    <cfRule type="expression" priority="9" dxfId="0" stopIfTrue="1">
      <formula>$C$553</formula>
    </cfRule>
  </conditionalFormatting>
  <conditionalFormatting sqref="B717">
    <cfRule type="expression" priority="10" dxfId="0" stopIfTrue="1">
      <formula>$C$554</formula>
    </cfRule>
  </conditionalFormatting>
  <hyperlinks>
    <hyperlink ref="B277" location="JUMP_Guidelines_Home" display="Next sheet"/>
    <hyperlink ref="B278" r:id="rId1" display="Summary"/>
    <hyperlink ref="B279" location="JUMP_Coverpage_Top" display="Top of sheet"/>
    <hyperlink ref="B280" location="JUMP_Coverpage_Bottom" display="End of sheet"/>
    <hyperlink ref="B290" location="JUMP_TOC_Home" display="Table of contents"/>
    <hyperlink ref="B291" location="JUMP_TOC_Home" display="Previous sheet"/>
    <hyperlink ref="B294" r:id="rId2" display="http://eur-lex.europa.eu/LexUriServ/LexUriServ.do?uri=CONSLEG:2003L0087:20090625:EN:PDF"/>
    <hyperlink ref="B328" r:id="rId3" display="http://eur-lex.europa.eu/en/index.htm "/>
    <hyperlink ref="B330" r:id="rId4" display="http://ec.europa.eu/clima/policies/ets/index_en.htm"/>
    <hyperlink ref="B336" location="JUMP_A_I" display="&lt;&lt;&lt; Click here to proceed to next sheet &gt;&gt;&gt; "/>
    <hyperlink ref="B338" location="JUMP_A_I1" display="Installation ID"/>
    <hyperlink ref="B339" location="JUMP_A_I2" display="Contact persons"/>
    <hyperlink ref="B340" r:id="rId5" display="Verifier"/>
    <hyperlink ref="B341" location="JUMP_A_I4" display="Further information"/>
    <hyperlink ref="B342" r:id="rId6" display="Eligibility"/>
    <hyperlink ref="B343" location="JUMP_A_IV1" display="Technical connections"/>
    <hyperlink ref="B399" r:id="rId7" display="http://ec.europa.eu/eurostat/ramon/nomenclatures/index.cfm?TargetUrl=LST_CLS_DLD&amp;StrNom=NACE_1_1&amp;StrLanguageCode=EN&amp;StrLayoutCode=HIERARCHIC"/>
    <hyperlink ref="B401" r:id="rId8" display="http://ec.europa.eu/eurostat/ramon/nomenclatures/index.cfm?TargetUrl=LST_CLS_DLD&amp;StrNom=NACE_REV2&amp;StrLanguageCode=EN&amp;StrLayoutCode=HIERARCHIC"/>
    <hyperlink ref="B469" r:id="rId9" display="N2O"/>
    <hyperlink ref="B471" r:id="rId10" display="Emissions and Energy Input"/>
    <hyperlink ref="B472" r:id="rId11" display="Emissions Attribution"/>
    <hyperlink ref="B473" r:id="rId12" display="Waste gases (1)"/>
    <hyperlink ref="B474" r:id="rId13" display="Waste gases (2)"/>
    <hyperlink ref="B549" r:id="rId14" display="Attribution of Fuels"/>
    <hyperlink ref="B550" r:id="rId15" display="Heat (final result)"/>
    <hyperlink ref="B551" r:id="rId16" display="Electricity"/>
    <hyperlink ref="B705" r:id="rId17" display="http://ec.europa.eu/eurostat/ramon/nomenclatures/index.cfm?TargetUrl=LST_CLS_DLD&amp;StrNom=PRD_2007&amp;StrLanguageCode=EN&amp;StrLayoutCode"/>
    <hyperlink ref="B707" r:id="rId18" display="http://ec.europa.eu/eurostat/ramon/nomenclatures/index.cfm?TargetUrl=LST_CLS_DLD&amp;StrNom=PRD_2010&amp;StrLanguageCode=EN&amp;StrLayoutCode=HIERARCHIC"/>
    <hyperlink ref="B712" r:id="rId19" display="Heat benchmark, CL"/>
    <hyperlink ref="B713" r:id="rId20" display="Heat benchmark, non-CL"/>
    <hyperlink ref="B714" r:id="rId21" display="Fuel benchmark, CL"/>
    <hyperlink ref="B715" r:id="rId22" display="Fuel benchmark, non-CL"/>
    <hyperlink ref="B716" r:id="rId23" display="Process emissions, CL"/>
    <hyperlink ref="B717" r:id="rId24" display="Process emissions, non-CL"/>
    <hyperlink ref="B944" r:id="rId25" display="Installation data"/>
    <hyperlink ref="B945" r:id="rId26" display="Emissions &amp; Energy Flows"/>
    <hyperlink ref="B946" r:id="rId27" display="Sub-installation Data"/>
    <hyperlink ref="B947" r:id="rId28" display="Preliminary allocation"/>
    <hyperlink ref="B1008" r:id="rId29" display="The results displayed here are by no means legally binding. Please see disclaimer in the introduction of this section."/>
    <hyperlink ref="B1017" r:id="rId30" display="http://eur-lex.europa.eu/LexUriServ/LexUriServ.do?uri=CONSLEG:2011D0278:20111117:IT:PDF"/>
    <hyperlink ref="B1025" r:id="rId31" display="http://ec.europa.eu/clima/policies/ets/benchmarking/documentation_en.htm"/>
    <hyperlink ref="B1026" r:id="rId32" display="../../../Users/NEVERVA/AppData/Local/Microsoft/Windows/Downloads/NE template U Draft v2.0_120509 for Translation.xls#JUMP_A_II_1#JUMP_A_II_1"/>
    <hyperlink ref="B1027" r:id="rId33" display="../../../Users/NEVERVA/AppData/Local/Microsoft/Windows/Downloads/NE template U Draft v2.0_120509 for Translation.xls#JUMP_A_II_4#JUMP_A_II_4"/>
    <hyperlink ref="B1028" r:id="rId34" display="../../../Users/NEVERVA/AppData/Local/Microsoft/Windows/Downloads/NE template U Draft v2.0_120509 for Translation.xls#JUMP_A_III#JUMP_A_III"/>
    <hyperlink ref="B1029" r:id="rId35" display="../../../Users/NEVERVA/AppData/Local/Microsoft/Windows/Downloads/NE template U Draft v2.0_120509 for Translation.xls#JUMP_A_IV#JUMP_A_IV"/>
    <hyperlink ref="B1030" r:id="rId36" display="../../../Users/NEVERVA/AppData/Local/Microsoft/Windows/Downloads/NE template U Draft v2.0_120509 for Translation.xls#JUMP_A_V#JUMP_A_V"/>
    <hyperlink ref="B1357" r:id="rId37" display="../../../Users/NEVERVA/AppData/Local/Microsoft/Windows/Downloads/NE template U Draft v2.0_120509 for Translation.xls#JUMP_K_II#JUMP_K_II"/>
    <hyperlink ref="B1358" r:id="rId38" display="../../../Users/NEVERVA/AppData/Local/Microsoft/Windows/Downloads/NE template U Draft v2.0_120509 for Translation.xls#JUMP_K_V#JUMP_K_V"/>
    <hyperlink ref="B324" r:id="rId39" display="ets@minambiente.it"/>
    <hyperlink ref="B332" r:id="rId40" display="http://www.minambiente.it/pagina/emission-trading"/>
    <hyperlink ref="B334" r:id="rId41" display="ets@mianmbiente.it"/>
  </hyperlinks>
  <printOptions/>
  <pageMargins left="0.7" right="0.7" top="0.787401575" bottom="0.787401575" header="0.3" footer="0.3"/>
  <pageSetup fitToHeight="4" fitToWidth="1" horizontalDpi="600" verticalDpi="600" orientation="portrait" paperSize="9" r:id="rId42"/>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indexed="57"/>
    <pageSetUpPr fitToPage="1"/>
  </sheetPr>
  <dimension ref="A1:E89"/>
  <sheetViews>
    <sheetView zoomScalePageLayoutView="0" workbookViewId="0" topLeftCell="A1">
      <selection activeCell="G35" sqref="G35"/>
    </sheetView>
  </sheetViews>
  <sheetFormatPr defaultColWidth="9.140625" defaultRowHeight="12.75"/>
  <cols>
    <col min="1" max="1" width="23.421875" style="82" customWidth="1"/>
    <col min="2" max="2" width="34.7109375" style="82" customWidth="1"/>
    <col min="3" max="3" width="15.140625" style="82" customWidth="1"/>
    <col min="4" max="4" width="15.421875" style="82" customWidth="1"/>
    <col min="5" max="16384" width="9.140625" style="82" customWidth="1"/>
  </cols>
  <sheetData>
    <row r="1" ht="13.5" thickBot="1">
      <c r="A1" s="84" t="s">
        <v>174</v>
      </c>
    </row>
    <row r="2" spans="1:2" ht="13.5" thickBot="1">
      <c r="A2" s="158" t="s">
        <v>175</v>
      </c>
      <c r="B2" s="159" t="s">
        <v>547</v>
      </c>
    </row>
    <row r="3" spans="1:5" ht="13.5" thickBot="1">
      <c r="A3" s="160" t="s">
        <v>173</v>
      </c>
      <c r="B3" s="161">
        <v>42330</v>
      </c>
      <c r="C3" s="162" t="str">
        <f>IF(ISNUMBER(MATCH(B3,A15:A27,0)),VLOOKUP(B3,A15:B27,2,FALSE),"---")</f>
        <v>NE&amp;C MergerSplit_2015-11-22_COM_it.XLS</v>
      </c>
      <c r="D3" s="163"/>
      <c r="E3" s="164"/>
    </row>
    <row r="4" spans="1:2" ht="12.75">
      <c r="A4" s="165" t="s">
        <v>178</v>
      </c>
      <c r="B4" s="166" t="s">
        <v>179</v>
      </c>
    </row>
    <row r="5" spans="1:2" ht="13.5" thickBot="1">
      <c r="A5" s="167" t="s">
        <v>177</v>
      </c>
      <c r="B5" s="168" t="s">
        <v>198</v>
      </c>
    </row>
    <row r="6" ht="12.75"/>
    <row r="7" ht="12.75">
      <c r="A7" s="169" t="s">
        <v>176</v>
      </c>
    </row>
    <row r="8" spans="1:3" ht="12.75">
      <c r="A8" s="112" t="s">
        <v>511</v>
      </c>
      <c r="B8" s="112"/>
      <c r="C8" s="170" t="s">
        <v>512</v>
      </c>
    </row>
    <row r="9" spans="1:3" ht="12.75">
      <c r="A9" s="112" t="s">
        <v>85</v>
      </c>
      <c r="B9" s="112"/>
      <c r="C9" s="170" t="s">
        <v>86</v>
      </c>
    </row>
    <row r="10" spans="1:3" ht="12.75">
      <c r="A10" s="112" t="s">
        <v>306</v>
      </c>
      <c r="B10" s="112"/>
      <c r="C10" s="170" t="s">
        <v>306</v>
      </c>
    </row>
    <row r="11" spans="1:3" ht="12.75">
      <c r="A11" s="112" t="s">
        <v>452</v>
      </c>
      <c r="B11" s="112"/>
      <c r="C11" s="170" t="s">
        <v>54</v>
      </c>
    </row>
    <row r="12" spans="1:3" ht="12.75">
      <c r="A12" s="481" t="s">
        <v>547</v>
      </c>
      <c r="B12" s="112"/>
      <c r="C12" s="482" t="s">
        <v>548</v>
      </c>
    </row>
    <row r="13" ht="12.75">
      <c r="A13" s="90"/>
    </row>
    <row r="14" spans="1:3" ht="12.75">
      <c r="A14" s="84" t="s">
        <v>434</v>
      </c>
      <c r="B14" s="84" t="s">
        <v>381</v>
      </c>
      <c r="C14" s="84" t="s">
        <v>105</v>
      </c>
    </row>
    <row r="15" spans="1:4" ht="12.75">
      <c r="A15" s="171">
        <v>42009</v>
      </c>
      <c r="B15" s="174" t="str">
        <f aca="true" t="shared" si="0" ref="B15:B22">IF(ISBLANK(A15),"",CONCATENATE(VLOOKUP($B$2,$A$8:$C$12,3,0),"_",TEXT(YEAR(A15),"####"),"-",TEXT(MONTH(A15),"0#"),"-",TEXT(DAY(A15),"0#"),"_",VLOOKUP($B$4,$A$30:$B$62,2,0),"_",VLOOKUP($B$5,$A$65:$B$89,2,0),".XLS"))</f>
        <v>NE&amp;C MergerSplit_2015-01-05_COM_it.XLS</v>
      </c>
      <c r="C15" s="483" t="s">
        <v>554</v>
      </c>
      <c r="D15" s="172"/>
    </row>
    <row r="16" spans="1:4" ht="12.75">
      <c r="A16" s="173">
        <v>42044</v>
      </c>
      <c r="B16" s="174" t="str">
        <f t="shared" si="0"/>
        <v>NE&amp;C MergerSplit_2015-02-09_COM_it.XLS</v>
      </c>
      <c r="C16" s="374" t="s">
        <v>557</v>
      </c>
      <c r="D16" s="176"/>
    </row>
    <row r="17" spans="1:4" ht="12.75">
      <c r="A17" s="173">
        <v>42223</v>
      </c>
      <c r="B17" s="174" t="str">
        <f t="shared" si="0"/>
        <v>NE&amp;C MergerSplit_2015-08-07_COM_it.XLS</v>
      </c>
      <c r="C17" s="374" t="s">
        <v>558</v>
      </c>
      <c r="D17" s="176"/>
    </row>
    <row r="18" spans="1:4" ht="12.75">
      <c r="A18" s="173">
        <v>42284</v>
      </c>
      <c r="B18" s="174" t="str">
        <f t="shared" si="0"/>
        <v>NE&amp;C MergerSplit_2015-10-07_COM_it.XLS</v>
      </c>
      <c r="C18" s="374" t="s">
        <v>565</v>
      </c>
      <c r="D18" s="176"/>
    </row>
    <row r="19" spans="1:4" ht="12.75">
      <c r="A19" s="173">
        <v>42318</v>
      </c>
      <c r="B19" s="174" t="str">
        <f t="shared" si="0"/>
        <v>NE&amp;C MergerSplit_2015-11-10_COM_it.XLS</v>
      </c>
      <c r="C19" s="175" t="s">
        <v>569</v>
      </c>
      <c r="D19" s="176"/>
    </row>
    <row r="20" spans="1:4" ht="12.75">
      <c r="A20" s="173">
        <v>42330</v>
      </c>
      <c r="B20" s="174" t="str">
        <f t="shared" si="0"/>
        <v>NE&amp;C MergerSplit_2015-11-22_COM_it.XLS</v>
      </c>
      <c r="C20" s="374" t="s">
        <v>2095</v>
      </c>
      <c r="D20" s="176"/>
    </row>
    <row r="21" spans="1:4" ht="12.75">
      <c r="A21" s="173"/>
      <c r="B21" s="174">
        <f t="shared" si="0"/>
      </c>
      <c r="C21" s="175"/>
      <c r="D21" s="176"/>
    </row>
    <row r="22" spans="1:4" ht="12.75">
      <c r="A22" s="173"/>
      <c r="B22" s="174">
        <f t="shared" si="0"/>
      </c>
      <c r="C22" s="175"/>
      <c r="D22" s="176"/>
    </row>
    <row r="23" spans="1:4" ht="12.75">
      <c r="A23" s="173"/>
      <c r="B23" s="174">
        <f>IF(ISBLANK(A23),"",CONCATENATE(VLOOKUP($B$2,$A$8:$C$12,3,0),"_",TEXT(YEAR(A23),"####"),"-",TEXT(MONTH(A23),"0#"),"-",TEXT(DAY(A23),"0#"),"_",VLOOKUP($B$4,$A$30:$B$62,2,0),"_",VLOOKUP($B$5,$A$65:$B$89,2,0),".XLS"))</f>
      </c>
      <c r="C23" s="175"/>
      <c r="D23" s="176"/>
    </row>
    <row r="24" spans="1:4" ht="12.75">
      <c r="A24" s="173"/>
      <c r="B24" s="174">
        <f>IF(ISBLANK(A24),"",CONCATENATE(VLOOKUP($B$2,$A$8:$C$12,3,0),"_",TEXT(YEAR(A24),"####"),"-",TEXT(MONTH(A24),"0#"),"-",TEXT(DAY(A24),"0#"),"_",VLOOKUP($B$4,$A$30:$B$62,2,0),"_",VLOOKUP($B$5,$A$65:$B$89,2,0),".XLS"))</f>
      </c>
      <c r="C24" s="374"/>
      <c r="D24" s="176"/>
    </row>
    <row r="25" spans="1:4" ht="12.75">
      <c r="A25" s="173"/>
      <c r="B25" s="174">
        <f>IF(ISBLANK(A25),"",CONCATENATE(VLOOKUP($B$2,$A$8:$C$12,3,0),"_",TEXT(YEAR(A25),"####"),"-",TEXT(MONTH(A25),"0#"),"-",TEXT(DAY(A25),"0#"),"_",VLOOKUP($B$4,$A$30:$B$62,2,0),"_",VLOOKUP($B$5,$A$65:$B$89,2,0),".XLS"))</f>
      </c>
      <c r="C25" s="175"/>
      <c r="D25" s="176"/>
    </row>
    <row r="26" spans="1:4" ht="12.75">
      <c r="A26" s="173"/>
      <c r="B26" s="174">
        <f>IF(ISBLANK(A26),"",CONCATENATE(VLOOKUP($B$2,$A$8:$C$12,3,0),"_",TEXT(YEAR(A26),"####"),"-",TEXT(MONTH(A26),"0#"),"-",TEXT(DAY(A26),"0#"),"_",VLOOKUP($B$4,$A$30:$B$62,2,0),"_",VLOOKUP($B$5,$A$65:$B$89,2,0),".XLS"))</f>
      </c>
      <c r="C26" s="175"/>
      <c r="D26" s="176"/>
    </row>
    <row r="27" spans="1:4" ht="12.75">
      <c r="A27" s="253"/>
      <c r="B27" s="177">
        <f>IF(ISBLANK(A27),"",CONCATENATE(VLOOKUP($B$2,$A$8:$C$12,3,0),"_",TEXT(YEAR(A27),"####"),"-",TEXT(MONTH(A27),"0#"),"-",TEXT(DAY(A27),"0#"),"_",VLOOKUP($B$4,$A$30:$B$62,2,0),"_",VLOOKUP($B$5,$A$65:$B$89,2,0),".XLS"))</f>
      </c>
      <c r="C27" s="178"/>
      <c r="D27" s="179"/>
    </row>
    <row r="29" ht="12.75">
      <c r="A29" s="84" t="s">
        <v>178</v>
      </c>
    </row>
    <row r="30" spans="1:3" ht="12.75">
      <c r="A30" s="156" t="s">
        <v>179</v>
      </c>
      <c r="B30" s="156" t="s">
        <v>382</v>
      </c>
      <c r="C30" s="111"/>
    </row>
    <row r="31" spans="1:2" ht="12.75">
      <c r="A31" s="156" t="s">
        <v>305</v>
      </c>
      <c r="B31" s="156" t="s">
        <v>67</v>
      </c>
    </row>
    <row r="32" spans="1:2" ht="12.75">
      <c r="A32" s="156" t="s">
        <v>463</v>
      </c>
      <c r="B32" s="156" t="s">
        <v>383</v>
      </c>
    </row>
    <row r="33" spans="1:2" ht="12.75">
      <c r="A33" s="156" t="s">
        <v>464</v>
      </c>
      <c r="B33" s="156" t="s">
        <v>384</v>
      </c>
    </row>
    <row r="34" spans="1:2" ht="12.75">
      <c r="A34" s="156" t="s">
        <v>465</v>
      </c>
      <c r="B34" s="156" t="s">
        <v>385</v>
      </c>
    </row>
    <row r="35" spans="1:2" ht="12.75">
      <c r="A35" s="156" t="s">
        <v>453</v>
      </c>
      <c r="B35" s="156" t="s">
        <v>454</v>
      </c>
    </row>
    <row r="36" spans="1:2" ht="12.75">
      <c r="A36" s="156" t="s">
        <v>466</v>
      </c>
      <c r="B36" s="156" t="s">
        <v>386</v>
      </c>
    </row>
    <row r="37" spans="1:2" ht="12.75">
      <c r="A37" s="156" t="s">
        <v>467</v>
      </c>
      <c r="B37" s="156" t="s">
        <v>387</v>
      </c>
    </row>
    <row r="38" spans="1:2" ht="12.75">
      <c r="A38" s="156" t="s">
        <v>468</v>
      </c>
      <c r="B38" s="156" t="s">
        <v>388</v>
      </c>
    </row>
    <row r="39" spans="1:2" ht="12.75">
      <c r="A39" s="156" t="s">
        <v>469</v>
      </c>
      <c r="B39" s="156" t="s">
        <v>389</v>
      </c>
    </row>
    <row r="40" spans="1:2" ht="12.75">
      <c r="A40" s="156" t="s">
        <v>470</v>
      </c>
      <c r="B40" s="156" t="s">
        <v>390</v>
      </c>
    </row>
    <row r="41" spans="1:2" ht="12.75">
      <c r="A41" s="156" t="s">
        <v>471</v>
      </c>
      <c r="B41" s="156" t="s">
        <v>391</v>
      </c>
    </row>
    <row r="42" spans="1:2" ht="12.75">
      <c r="A42" s="156" t="s">
        <v>498</v>
      </c>
      <c r="B42" s="156" t="s">
        <v>392</v>
      </c>
    </row>
    <row r="43" spans="1:2" ht="12.75">
      <c r="A43" s="156" t="s">
        <v>499</v>
      </c>
      <c r="B43" s="156" t="s">
        <v>393</v>
      </c>
    </row>
    <row r="44" spans="1:2" ht="12.75">
      <c r="A44" s="156" t="s">
        <v>500</v>
      </c>
      <c r="B44" s="156" t="s">
        <v>394</v>
      </c>
    </row>
    <row r="45" spans="1:2" ht="12.75">
      <c r="A45" s="156" t="s">
        <v>509</v>
      </c>
      <c r="B45" s="156" t="s">
        <v>64</v>
      </c>
    </row>
    <row r="46" spans="1:2" ht="12.75">
      <c r="A46" s="156" t="s">
        <v>501</v>
      </c>
      <c r="B46" s="156" t="s">
        <v>395</v>
      </c>
    </row>
    <row r="47" spans="1:2" ht="12.75">
      <c r="A47" s="156" t="s">
        <v>502</v>
      </c>
      <c r="B47" s="156" t="s">
        <v>396</v>
      </c>
    </row>
    <row r="48" spans="1:2" ht="12.75">
      <c r="A48" s="156" t="s">
        <v>503</v>
      </c>
      <c r="B48" s="156" t="s">
        <v>397</v>
      </c>
    </row>
    <row r="49" spans="1:2" ht="12.75">
      <c r="A49" s="156" t="s">
        <v>63</v>
      </c>
      <c r="B49" s="156" t="s">
        <v>65</v>
      </c>
    </row>
    <row r="50" spans="1:2" ht="12.75">
      <c r="A50" s="156" t="s">
        <v>504</v>
      </c>
      <c r="B50" s="156" t="s">
        <v>398</v>
      </c>
    </row>
    <row r="51" spans="1:2" ht="12.75">
      <c r="A51" s="156" t="s">
        <v>505</v>
      </c>
      <c r="B51" s="156" t="s">
        <v>399</v>
      </c>
    </row>
    <row r="52" spans="1:2" ht="12.75">
      <c r="A52" s="156" t="s">
        <v>506</v>
      </c>
      <c r="B52" s="156" t="s">
        <v>400</v>
      </c>
    </row>
    <row r="53" spans="1:2" ht="12.75">
      <c r="A53" s="156" t="s">
        <v>507</v>
      </c>
      <c r="B53" s="156" t="s">
        <v>401</v>
      </c>
    </row>
    <row r="54" spans="1:2" ht="12.75">
      <c r="A54" s="156" t="s">
        <v>62</v>
      </c>
      <c r="B54" s="156" t="s">
        <v>66</v>
      </c>
    </row>
    <row r="55" spans="1:2" ht="12.75">
      <c r="A55" s="156" t="s">
        <v>508</v>
      </c>
      <c r="B55" s="156" t="s">
        <v>402</v>
      </c>
    </row>
    <row r="56" spans="1:2" ht="12.75">
      <c r="A56" s="156" t="s">
        <v>321</v>
      </c>
      <c r="B56" s="156" t="s">
        <v>403</v>
      </c>
    </row>
    <row r="57" spans="1:2" ht="12.75">
      <c r="A57" s="156" t="s">
        <v>322</v>
      </c>
      <c r="B57" s="156" t="s">
        <v>404</v>
      </c>
    </row>
    <row r="58" spans="1:2" ht="12.75">
      <c r="A58" s="156" t="s">
        <v>323</v>
      </c>
      <c r="B58" s="156" t="s">
        <v>405</v>
      </c>
    </row>
    <row r="59" spans="1:2" ht="12.75">
      <c r="A59" s="156" t="s">
        <v>324</v>
      </c>
      <c r="B59" s="156" t="s">
        <v>406</v>
      </c>
    </row>
    <row r="60" spans="1:2" ht="12.75">
      <c r="A60" s="156" t="s">
        <v>307</v>
      </c>
      <c r="B60" s="156" t="s">
        <v>407</v>
      </c>
    </row>
    <row r="61" spans="1:2" ht="12.75">
      <c r="A61" s="156" t="s">
        <v>308</v>
      </c>
      <c r="B61" s="156" t="s">
        <v>295</v>
      </c>
    </row>
    <row r="62" spans="1:2" ht="12.75" customHeight="1">
      <c r="A62" s="156" t="s">
        <v>309</v>
      </c>
      <c r="B62" s="156" t="s">
        <v>296</v>
      </c>
    </row>
    <row r="64" ht="12.75">
      <c r="A64" s="91" t="s">
        <v>435</v>
      </c>
    </row>
    <row r="65" spans="1:2" ht="12.75">
      <c r="A65" s="157" t="s">
        <v>180</v>
      </c>
      <c r="B65" s="157" t="s">
        <v>181</v>
      </c>
    </row>
    <row r="66" spans="1:2" ht="12.75">
      <c r="A66" s="157" t="s">
        <v>182</v>
      </c>
      <c r="B66" s="157" t="s">
        <v>183</v>
      </c>
    </row>
    <row r="67" spans="1:2" ht="12.75">
      <c r="A67" s="364" t="s">
        <v>455</v>
      </c>
      <c r="B67" s="364" t="s">
        <v>456</v>
      </c>
    </row>
    <row r="68" spans="1:2" ht="12.75">
      <c r="A68" s="157" t="s">
        <v>184</v>
      </c>
      <c r="B68" s="157" t="s">
        <v>185</v>
      </c>
    </row>
    <row r="69" spans="1:2" ht="12.75">
      <c r="A69" s="157" t="s">
        <v>186</v>
      </c>
      <c r="B69" s="157" t="s">
        <v>187</v>
      </c>
    </row>
    <row r="70" spans="1:2" ht="12.75">
      <c r="A70" s="157" t="s">
        <v>188</v>
      </c>
      <c r="B70" s="157" t="s">
        <v>189</v>
      </c>
    </row>
    <row r="71" spans="1:2" ht="12.75">
      <c r="A71" s="157" t="s">
        <v>190</v>
      </c>
      <c r="B71" s="157" t="s">
        <v>191</v>
      </c>
    </row>
    <row r="72" spans="1:2" ht="12.75">
      <c r="A72" s="157" t="s">
        <v>192</v>
      </c>
      <c r="B72" s="157" t="s">
        <v>193</v>
      </c>
    </row>
    <row r="73" spans="1:2" ht="12.75">
      <c r="A73" s="157" t="s">
        <v>194</v>
      </c>
      <c r="B73" s="157" t="s">
        <v>195</v>
      </c>
    </row>
    <row r="74" spans="1:2" ht="12.75">
      <c r="A74" s="157" t="s">
        <v>196</v>
      </c>
      <c r="B74" s="157" t="s">
        <v>197</v>
      </c>
    </row>
    <row r="75" spans="1:2" ht="12.75">
      <c r="A75" s="157" t="s">
        <v>198</v>
      </c>
      <c r="B75" s="157" t="s">
        <v>199</v>
      </c>
    </row>
    <row r="76" spans="1:2" ht="12.75">
      <c r="A76" s="157" t="s">
        <v>200</v>
      </c>
      <c r="B76" s="157" t="s">
        <v>358</v>
      </c>
    </row>
    <row r="77" spans="1:2" ht="12.75">
      <c r="A77" s="157" t="s">
        <v>359</v>
      </c>
      <c r="B77" s="157" t="s">
        <v>360</v>
      </c>
    </row>
    <row r="78" spans="1:2" ht="12.75">
      <c r="A78" s="157" t="s">
        <v>361</v>
      </c>
      <c r="B78" s="157" t="s">
        <v>362</v>
      </c>
    </row>
    <row r="79" spans="1:2" ht="12.75">
      <c r="A79" s="157" t="s">
        <v>363</v>
      </c>
      <c r="B79" s="157" t="s">
        <v>364</v>
      </c>
    </row>
    <row r="80" spans="1:2" ht="12.75">
      <c r="A80" s="157" t="s">
        <v>365</v>
      </c>
      <c r="B80" s="157" t="s">
        <v>366</v>
      </c>
    </row>
    <row r="81" spans="1:2" ht="12.75">
      <c r="A81" s="157" t="s">
        <v>367</v>
      </c>
      <c r="B81" s="157" t="s">
        <v>368</v>
      </c>
    </row>
    <row r="82" spans="1:2" ht="12.75">
      <c r="A82" s="157" t="s">
        <v>369</v>
      </c>
      <c r="B82" s="157" t="s">
        <v>370</v>
      </c>
    </row>
    <row r="83" spans="1:2" ht="12.75">
      <c r="A83" s="157" t="s">
        <v>371</v>
      </c>
      <c r="B83" s="157" t="s">
        <v>372</v>
      </c>
    </row>
    <row r="84" spans="1:2" ht="12.75">
      <c r="A84" s="157" t="s">
        <v>373</v>
      </c>
      <c r="B84" s="157" t="s">
        <v>374</v>
      </c>
    </row>
    <row r="85" spans="1:2" ht="12.75">
      <c r="A85" s="157" t="s">
        <v>375</v>
      </c>
      <c r="B85" s="157" t="s">
        <v>376</v>
      </c>
    </row>
    <row r="86" spans="1:2" ht="12.75">
      <c r="A86" s="157" t="s">
        <v>377</v>
      </c>
      <c r="B86" s="157" t="s">
        <v>378</v>
      </c>
    </row>
    <row r="87" spans="1:2" ht="12.75">
      <c r="A87" s="157" t="s">
        <v>379</v>
      </c>
      <c r="B87" s="157" t="s">
        <v>380</v>
      </c>
    </row>
    <row r="88" spans="1:2" ht="12.75">
      <c r="A88" s="157" t="s">
        <v>341</v>
      </c>
      <c r="B88" s="157" t="s">
        <v>342</v>
      </c>
    </row>
    <row r="89" spans="1:2" ht="12.75">
      <c r="A89" s="157" t="s">
        <v>343</v>
      </c>
      <c r="B89" s="157" t="s">
        <v>344</v>
      </c>
    </row>
  </sheetData>
  <sheetProtection sheet="1" objects="1" scenarios="1" formatCells="0" formatColumns="0" formatRows="0"/>
  <dataValidations count="4">
    <dataValidation type="list" allowBlank="1" showInputMessage="1" showErrorMessage="1" sqref="B5">
      <formula1>$A$65:$A$89</formula1>
    </dataValidation>
    <dataValidation type="list" allowBlank="1" showInputMessage="1" showErrorMessage="1" sqref="B2">
      <formula1>$A$8:$A$12</formula1>
    </dataValidation>
    <dataValidation type="list" allowBlank="1" showInputMessage="1" showErrorMessage="1" sqref="B3">
      <formula1>$A$15:$A$27</formula1>
    </dataValidation>
    <dataValidation type="list" allowBlank="1" showInputMessage="1" showErrorMessage="1" sqref="B4">
      <formula1>$A$30:$A$62</formula1>
    </dataValidation>
  </dataValidations>
  <printOptions/>
  <pageMargins left="0.787401575" right="0.787401575" top="0.984251969" bottom="0.984251969" header="0.5" footer="0.5"/>
  <pageSetup fitToHeight="1" fitToWidth="1" horizontalDpi="600" verticalDpi="600" orientation="portrait" paperSize="9" scale="71" r:id="rId3"/>
  <headerFooter alignWithMargins="0">
    <oddHeader>&amp;L&amp;F; &amp;A&amp;R&amp;D ;&amp;T</oddHeader>
    <oddFooter>&amp;C&amp;P /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105"/>
  <sheetViews>
    <sheetView zoomScalePageLayoutView="0" workbookViewId="0" topLeftCell="A1">
      <pane ySplit="4" topLeftCell="A5" activePane="bottomLeft" state="frozen"/>
      <selection pane="topLeft" activeCell="F43" sqref="F43"/>
      <selection pane="bottomLeft" activeCell="C93" sqref="C93:L93"/>
    </sheetView>
  </sheetViews>
  <sheetFormatPr defaultColWidth="9.140625" defaultRowHeight="12.75"/>
  <cols>
    <col min="1" max="1" width="2.421875" style="519" hidden="1" customWidth="1"/>
    <col min="2" max="2" width="4.7109375" style="582" customWidth="1"/>
    <col min="3" max="3" width="12.7109375" style="582" customWidth="1"/>
    <col min="4" max="4" width="20.28125" style="582" customWidth="1"/>
    <col min="5" max="11" width="12.7109375" style="582" customWidth="1"/>
    <col min="12" max="12" width="12.7109375" style="519" customWidth="1"/>
    <col min="13" max="13" width="4.7109375" style="519" customWidth="1"/>
    <col min="14" max="14" width="9.140625" style="519" customWidth="1"/>
    <col min="15" max="24" width="9.140625" style="502" hidden="1" customWidth="1"/>
    <col min="25" max="16384" width="9.140625" style="519" customWidth="1"/>
  </cols>
  <sheetData>
    <row r="1" spans="1:24" s="4" customFormat="1" ht="13.5" hidden="1" thickBot="1">
      <c r="A1" s="439" t="s">
        <v>484</v>
      </c>
      <c r="O1" s="439" t="s">
        <v>484</v>
      </c>
      <c r="P1" s="422" t="s">
        <v>484</v>
      </c>
      <c r="Q1" s="422" t="s">
        <v>484</v>
      </c>
      <c r="R1" s="422" t="s">
        <v>484</v>
      </c>
      <c r="S1" s="422" t="s">
        <v>484</v>
      </c>
      <c r="T1" s="422" t="s">
        <v>484</v>
      </c>
      <c r="U1" s="422" t="s">
        <v>484</v>
      </c>
      <c r="V1" s="422" t="s">
        <v>484</v>
      </c>
      <c r="W1" s="422" t="s">
        <v>484</v>
      </c>
      <c r="X1" s="422" t="s">
        <v>484</v>
      </c>
    </row>
    <row r="2" spans="2:24" ht="13.5" customHeight="1" thickBot="1">
      <c r="B2" s="691" t="s">
        <v>272</v>
      </c>
      <c r="C2" s="201" t="str">
        <f>Translations!$B$276</f>
        <v>Area di navigazione:</v>
      </c>
      <c r="D2" s="199"/>
      <c r="E2" s="779" t="str">
        <f>Translations!$B$290</f>
        <v>Indice</v>
      </c>
      <c r="F2" s="683"/>
      <c r="G2" s="683"/>
      <c r="H2" s="683"/>
      <c r="I2" s="683" t="str">
        <f>HYPERLINK(U2,Translations!$B$277)</f>
        <v>Foglio successivo</v>
      </c>
      <c r="J2" s="683"/>
      <c r="K2" s="683" t="str">
        <f>HYPERLINK(W2,Translations!$B$278)</f>
        <v>Sintesi </v>
      </c>
      <c r="L2" s="684"/>
      <c r="M2" s="9"/>
      <c r="N2" s="518"/>
      <c r="O2" s="440" t="s">
        <v>552</v>
      </c>
      <c r="P2" s="440"/>
      <c r="Q2" s="677"/>
      <c r="R2" s="678"/>
      <c r="S2" s="679"/>
      <c r="T2" s="678"/>
      <c r="U2" s="679" t="str">
        <f>"#"&amp;ADDRESS(ROW(D6),COLUMN(D6),,,A_InstallationData!Q3)</f>
        <v>#A_InstallationData!$D$6</v>
      </c>
      <c r="V2" s="678"/>
      <c r="W2" s="679" t="str">
        <f>"#"&amp;ADDRESS(ROW(D6),COLUMN(D6),,,D_Summary!Q3)</f>
        <v>#D_Summary!$D$6</v>
      </c>
      <c r="X2" s="680"/>
    </row>
    <row r="3" spans="2:24" ht="13.5" thickBot="1">
      <c r="B3" s="692"/>
      <c r="C3" s="683" t="str">
        <f>HYPERLINK(P3,Translations!$B$279)</f>
        <v>Inizio foglio</v>
      </c>
      <c r="D3" s="745"/>
      <c r="E3" s="780"/>
      <c r="F3" s="741"/>
      <c r="G3" s="740"/>
      <c r="H3" s="741"/>
      <c r="I3" s="740"/>
      <c r="J3" s="741"/>
      <c r="K3" s="740"/>
      <c r="L3" s="741"/>
      <c r="M3" s="9"/>
      <c r="N3" s="518"/>
      <c r="O3" s="498" t="str">
        <f ca="1">IF(ISERROR(CELL("filename",O2)),"b_Guidelines &amp; conditions",MID(CELL("filename",O2),FIND("]",CELL("filename",O2))+1,1024))</f>
        <v>b_Guidelines &amp; conditions</v>
      </c>
      <c r="P3" s="499" t="str">
        <f>"#"&amp;ADDRESS(ROW(B10),COLUMN(B10))</f>
        <v>#$B$10</v>
      </c>
      <c r="Q3" s="717"/>
      <c r="R3" s="718"/>
      <c r="S3" s="719"/>
      <c r="T3" s="718"/>
      <c r="U3" s="719"/>
      <c r="V3" s="718"/>
      <c r="W3" s="719"/>
      <c r="X3" s="720"/>
    </row>
    <row r="4" spans="2:24" ht="13.5" thickBot="1">
      <c r="B4" s="693"/>
      <c r="C4" s="683" t="str">
        <f>HYPERLINK(P4,Translations!$B$280)</f>
        <v>Fine foglio</v>
      </c>
      <c r="D4" s="683"/>
      <c r="E4" s="742"/>
      <c r="F4" s="743"/>
      <c r="G4" s="744"/>
      <c r="H4" s="743"/>
      <c r="I4" s="744"/>
      <c r="J4" s="743"/>
      <c r="K4" s="744"/>
      <c r="L4" s="743"/>
      <c r="M4" s="9"/>
      <c r="N4" s="518"/>
      <c r="O4" s="440"/>
      <c r="P4" s="500" t="str">
        <f>"#"&amp;ADDRESS(ROW(JUMP_Guidelines_Bottom),COLUMN(JUMP_Guidelines_Bottom))</f>
        <v>#$C$104</v>
      </c>
      <c r="Q4" s="711"/>
      <c r="R4" s="712"/>
      <c r="S4" s="713"/>
      <c r="T4" s="712"/>
      <c r="U4" s="713"/>
      <c r="V4" s="712"/>
      <c r="W4" s="713"/>
      <c r="X4" s="714"/>
    </row>
    <row r="5" spans="2:16" ht="12.75">
      <c r="B5" s="83"/>
      <c r="C5" s="83"/>
      <c r="D5" s="83"/>
      <c r="E5" s="83"/>
      <c r="F5" s="83"/>
      <c r="G5" s="83"/>
      <c r="H5" s="83"/>
      <c r="I5" s="83"/>
      <c r="J5" s="83"/>
      <c r="K5" s="83"/>
      <c r="L5" s="86"/>
      <c r="M5" s="86"/>
      <c r="P5" s="505" t="str">
        <f>HYPERLINK(P4,"T")</f>
        <v>T</v>
      </c>
    </row>
    <row r="6" spans="2:13" ht="18">
      <c r="B6" s="14"/>
      <c r="C6" s="781" t="str">
        <f>Translations!$B$292</f>
        <v>LINEE GUIDA E CONDIZIONI</v>
      </c>
      <c r="D6" s="781"/>
      <c r="E6" s="781"/>
      <c r="F6" s="781"/>
      <c r="G6" s="781"/>
      <c r="H6" s="781"/>
      <c r="I6" s="781"/>
      <c r="J6" s="781"/>
      <c r="K6" s="781"/>
      <c r="L6" s="83"/>
      <c r="M6" s="86"/>
    </row>
    <row r="7" spans="2:13" ht="12.75">
      <c r="B7" s="14"/>
      <c r="C7" s="782"/>
      <c r="D7" s="782"/>
      <c r="E7" s="782"/>
      <c r="F7" s="782"/>
      <c r="G7" s="782"/>
      <c r="H7" s="782"/>
      <c r="I7" s="782"/>
      <c r="J7" s="782"/>
      <c r="K7" s="782"/>
      <c r="L7" s="782"/>
      <c r="M7" s="86"/>
    </row>
    <row r="8" spans="2:24" s="520" customFormat="1" ht="15.75">
      <c r="B8" s="12"/>
      <c r="C8" s="727" t="str">
        <f>Translations!$B$293</f>
        <v>Informazioni generali sul presente modello</v>
      </c>
      <c r="D8" s="727"/>
      <c r="E8" s="727"/>
      <c r="F8" s="727"/>
      <c r="G8" s="727"/>
      <c r="H8" s="727"/>
      <c r="I8" s="727"/>
      <c r="J8" s="727"/>
      <c r="K8" s="727"/>
      <c r="L8" s="727"/>
      <c r="M8" s="7"/>
      <c r="O8" s="516"/>
      <c r="P8" s="516"/>
      <c r="Q8" s="516"/>
      <c r="R8" s="516"/>
      <c r="S8" s="516"/>
      <c r="T8" s="516"/>
      <c r="U8" s="516"/>
      <c r="V8" s="516"/>
      <c r="W8" s="516"/>
      <c r="X8" s="516"/>
    </row>
    <row r="9" spans="2:24" s="520" customFormat="1" ht="12.75">
      <c r="B9" s="88"/>
      <c r="C9" s="88"/>
      <c r="D9" s="88"/>
      <c r="E9" s="88"/>
      <c r="F9" s="88"/>
      <c r="G9" s="88"/>
      <c r="H9" s="88"/>
      <c r="I9" s="88"/>
      <c r="J9" s="88"/>
      <c r="K9" s="19"/>
      <c r="L9" s="19"/>
      <c r="M9" s="7"/>
      <c r="O9" s="516"/>
      <c r="P9" s="516"/>
      <c r="Q9" s="516"/>
      <c r="R9" s="516"/>
      <c r="S9" s="516"/>
      <c r="T9" s="516"/>
      <c r="U9" s="516"/>
      <c r="V9" s="516"/>
      <c r="W9" s="516"/>
      <c r="X9" s="516"/>
    </row>
    <row r="10" spans="2:24" s="520" customFormat="1" ht="25.5" customHeight="1">
      <c r="B10" s="183">
        <v>1</v>
      </c>
      <c r="C10" s="708" t="str">
        <f>Translations!$B$1015</f>
        <v>La direttiva 2003/87/CE, modificata da ultimo dalla direttiva 2009/29/CE (in appresso "la direttiva EU ETS") stabilisce che gli Stati membri assegnino quote a titolo gratuito ai gestori di impianti sulla base di misure di attuazione comunitarie interamente armonizzate (articolo 10 bis, paragrafo 1). La direttiva è disponibile all'indirizzo:</v>
      </c>
      <c r="D10" s="723"/>
      <c r="E10" s="723"/>
      <c r="F10" s="723"/>
      <c r="G10" s="723"/>
      <c r="H10" s="723"/>
      <c r="I10" s="723"/>
      <c r="J10" s="723"/>
      <c r="K10" s="723"/>
      <c r="L10" s="723"/>
      <c r="M10" s="7"/>
      <c r="O10" s="516"/>
      <c r="P10" s="516"/>
      <c r="Q10" s="516"/>
      <c r="R10" s="516"/>
      <c r="S10" s="516"/>
      <c r="T10" s="516"/>
      <c r="U10" s="516"/>
      <c r="V10" s="516"/>
      <c r="W10" s="516"/>
      <c r="X10" s="516"/>
    </row>
    <row r="11" spans="2:24" s="520" customFormat="1" ht="12.75">
      <c r="B11" s="88"/>
      <c r="C11" s="765" t="str">
        <f>Translations!$B$294</f>
        <v>http://eur-lex.europa.eu/LexUriServ/LexUriServ.do?uri=CONSLEG:2003L0087:20090625:EN:PDF</v>
      </c>
      <c r="D11" s="766"/>
      <c r="E11" s="766"/>
      <c r="F11" s="766"/>
      <c r="G11" s="766"/>
      <c r="H11" s="766"/>
      <c r="I11" s="766"/>
      <c r="J11" s="766"/>
      <c r="K11" s="766"/>
      <c r="L11" s="766"/>
      <c r="M11" s="7"/>
      <c r="O11" s="516"/>
      <c r="P11" s="516"/>
      <c r="Q11" s="516"/>
      <c r="R11" s="516"/>
      <c r="S11" s="516"/>
      <c r="T11" s="516"/>
      <c r="U11" s="516"/>
      <c r="V11" s="516"/>
      <c r="W11" s="516"/>
      <c r="X11" s="516"/>
    </row>
    <row r="12" spans="2:24" s="520" customFormat="1" ht="12.75" customHeight="1">
      <c r="B12" s="183">
        <f>B10+1</f>
        <v>2</v>
      </c>
      <c r="C12" s="708" t="str">
        <f>Translations!$B$1016</f>
        <v>Dette misure di attuazione comunitarie (Community-wide Implementing Measures, CIM) sono state pubblicate nella decisione 2011/278/UE della Commissione e sono disponibili all'indirizzo:</v>
      </c>
      <c r="D12" s="723"/>
      <c r="E12" s="723"/>
      <c r="F12" s="723"/>
      <c r="G12" s="723"/>
      <c r="H12" s="723"/>
      <c r="I12" s="723"/>
      <c r="J12" s="723"/>
      <c r="K12" s="723"/>
      <c r="L12" s="723"/>
      <c r="M12" s="7"/>
      <c r="O12" s="516"/>
      <c r="P12" s="516"/>
      <c r="Q12" s="516"/>
      <c r="R12" s="516"/>
      <c r="S12" s="516"/>
      <c r="T12" s="516"/>
      <c r="U12" s="516"/>
      <c r="V12" s="516"/>
      <c r="W12" s="516"/>
      <c r="X12" s="516"/>
    </row>
    <row r="13" spans="2:24" s="520" customFormat="1" ht="12.75">
      <c r="B13" s="88"/>
      <c r="C13" s="765" t="str">
        <f>Translations!$B$1017</f>
        <v>http://eur-lex.europa.eu/LexUriServ/LexUriServ.do?uri=CONSLEG:2011D0278:20111117:IT:PDF</v>
      </c>
      <c r="D13" s="766"/>
      <c r="E13" s="766"/>
      <c r="F13" s="766"/>
      <c r="G13" s="766"/>
      <c r="H13" s="766"/>
      <c r="I13" s="766"/>
      <c r="J13" s="766"/>
      <c r="K13" s="766"/>
      <c r="L13" s="766"/>
      <c r="M13" s="7"/>
      <c r="O13" s="516"/>
      <c r="P13" s="516"/>
      <c r="Q13" s="516"/>
      <c r="R13" s="516"/>
      <c r="S13" s="516"/>
      <c r="T13" s="516"/>
      <c r="U13" s="516"/>
      <c r="V13" s="516"/>
      <c r="W13" s="516"/>
      <c r="X13" s="516"/>
    </row>
    <row r="14" spans="2:24" s="520" customFormat="1" ht="38.25" customHeight="1">
      <c r="B14" s="183">
        <f>B12+1</f>
        <v>3</v>
      </c>
      <c r="C14" s="777" t="str">
        <f>Translations!$B$1506</f>
        <v>Le misure di esecuzione (CIM) non contengono disposizioni esplicite in materia di fusione e scissione degli impianti. Pertanto, come regola generale, eventuali modifiche all’assegnazione gratuita delle quote a seguito di una fusione o una scissione di impianti dovrebbero essere attuate conformemente alle regole applicabili ai nuovi entranti e alle chiusure, previste dalle CIM.</v>
      </c>
      <c r="D14" s="778"/>
      <c r="E14" s="778"/>
      <c r="F14" s="778"/>
      <c r="G14" s="778"/>
      <c r="H14" s="778"/>
      <c r="I14" s="778"/>
      <c r="J14" s="778"/>
      <c r="K14" s="778"/>
      <c r="L14" s="778"/>
      <c r="M14" s="7"/>
      <c r="O14" s="516"/>
      <c r="P14" s="516"/>
      <c r="Q14" s="516"/>
      <c r="R14" s="516"/>
      <c r="S14" s="516"/>
      <c r="T14" s="516"/>
      <c r="U14" s="516"/>
      <c r="V14" s="516"/>
      <c r="W14" s="516"/>
      <c r="X14" s="516"/>
    </row>
    <row r="15" spans="2:24" s="520" customFormat="1" ht="12.75" customHeight="1">
      <c r="B15" s="183"/>
      <c r="C15" s="708" t="str">
        <f>Translations!$B$1507</f>
        <v>Nell'ambito delle regole di assegnazione armonizzate e quando le condizioni di una modifica sostanziale della capacità sono soddisfatte:</v>
      </c>
      <c r="D15" s="708"/>
      <c r="E15" s="708"/>
      <c r="F15" s="708"/>
      <c r="G15" s="708"/>
      <c r="H15" s="708"/>
      <c r="I15" s="708"/>
      <c r="J15" s="708"/>
      <c r="K15" s="708"/>
      <c r="L15" s="708"/>
      <c r="M15" s="7"/>
      <c r="O15" s="516"/>
      <c r="P15" s="516"/>
      <c r="Q15" s="516"/>
      <c r="R15" s="516"/>
      <c r="S15" s="516"/>
      <c r="T15" s="516"/>
      <c r="U15" s="516"/>
      <c r="V15" s="516"/>
      <c r="W15" s="516"/>
      <c r="X15" s="516"/>
    </row>
    <row r="16" spans="2:24" s="520" customFormat="1" ht="12.75" customHeight="1">
      <c r="B16" s="183"/>
      <c r="C16" s="510" t="s">
        <v>291</v>
      </c>
      <c r="D16" s="708" t="str">
        <f>Translations!$B$1508</f>
        <v>Una fusione di due impianti avviene quando un impianto ha cessato le sue attività e un altro aumenta la sua capacità di produzione.</v>
      </c>
      <c r="E16" s="708"/>
      <c r="F16" s="708"/>
      <c r="G16" s="708"/>
      <c r="H16" s="708"/>
      <c r="I16" s="708"/>
      <c r="J16" s="708"/>
      <c r="K16" s="708"/>
      <c r="L16" s="708"/>
      <c r="M16" s="7"/>
      <c r="O16" s="516"/>
      <c r="P16" s="516"/>
      <c r="Q16" s="516"/>
      <c r="R16" s="516"/>
      <c r="S16" s="516"/>
      <c r="T16" s="516"/>
      <c r="U16" s="516"/>
      <c r="V16" s="516"/>
      <c r="W16" s="516"/>
      <c r="X16" s="516"/>
    </row>
    <row r="17" spans="2:24" s="520" customFormat="1" ht="25.5" customHeight="1">
      <c r="B17" s="183"/>
      <c r="C17" s="510" t="s">
        <v>291</v>
      </c>
      <c r="D17" s="708" t="str">
        <f>Translations!$B$1509</f>
        <v>Una scissione di un impianto in due (o più) parti dovrebbe concretizzarsi con la significativa riduzione di capacità dell'impianto originale ed uno (o più) nuovi entranti ("impianti ex novo detti "greenfield").</v>
      </c>
      <c r="E17" s="708"/>
      <c r="F17" s="708"/>
      <c r="G17" s="708"/>
      <c r="H17" s="708"/>
      <c r="I17" s="708"/>
      <c r="J17" s="708"/>
      <c r="K17" s="708"/>
      <c r="L17" s="708"/>
      <c r="M17" s="7"/>
      <c r="O17" s="516"/>
      <c r="P17" s="516"/>
      <c r="Q17" s="516"/>
      <c r="R17" s="516"/>
      <c r="S17" s="516"/>
      <c r="T17" s="516"/>
      <c r="U17" s="516"/>
      <c r="V17" s="516"/>
      <c r="W17" s="516"/>
      <c r="X17" s="516"/>
    </row>
    <row r="18" spans="2:24" s="520" customFormat="1" ht="12.75" customHeight="1">
      <c r="B18" s="183">
        <v>4</v>
      </c>
      <c r="C18" s="777" t="str">
        <f>Translations!$B$1510</f>
        <v>Gli operatori devono comunicare tali modifiche seguendo la normale procedura di notifica dei nuovi entranti e delle chiusure e secondo le regole stabilite dalle CIM.</v>
      </c>
      <c r="D18" s="777"/>
      <c r="E18" s="777"/>
      <c r="F18" s="777"/>
      <c r="G18" s="777"/>
      <c r="H18" s="777"/>
      <c r="I18" s="777"/>
      <c r="J18" s="777"/>
      <c r="K18" s="777"/>
      <c r="L18" s="777"/>
      <c r="M18" s="7"/>
      <c r="O18" s="516"/>
      <c r="P18" s="516"/>
      <c r="Q18" s="516"/>
      <c r="R18" s="516"/>
      <c r="S18" s="516"/>
      <c r="T18" s="516"/>
      <c r="U18" s="516"/>
      <c r="V18" s="516"/>
      <c r="W18" s="516"/>
      <c r="X18" s="516"/>
    </row>
    <row r="19" spans="2:24" s="520" customFormat="1" ht="38.25" customHeight="1">
      <c r="B19" s="183">
        <v>5</v>
      </c>
      <c r="C19" s="708" t="str">
        <f>Translations!$B$1511</f>
        <v>In considerazione di quanto precede, anche se le operazioni di fusione e di scissione sono procedure amministrative industriali relativamente comuni risultanti da cambiamenti di proprietà, nel contesto dell’assegnazione gratuita di quote nell’ambito del sistema ETS dell’UE devono essere trattate nel rispetto delle regole armonizzate di assegnazione, vale a dire, attraverso nuovi entranti (greenfield), modifiche sostanziali di capacità e cessazioni.</v>
      </c>
      <c r="D19" s="723"/>
      <c r="E19" s="723"/>
      <c r="F19" s="723"/>
      <c r="G19" s="723"/>
      <c r="H19" s="723"/>
      <c r="I19" s="723"/>
      <c r="J19" s="723"/>
      <c r="K19" s="723"/>
      <c r="L19" s="723"/>
      <c r="M19" s="7"/>
      <c r="O19" s="516"/>
      <c r="P19" s="516"/>
      <c r="Q19" s="516"/>
      <c r="R19" s="516"/>
      <c r="S19" s="516"/>
      <c r="T19" s="516"/>
      <c r="U19" s="516"/>
      <c r="V19" s="516"/>
      <c r="W19" s="516"/>
      <c r="X19" s="516"/>
    </row>
    <row r="20" spans="2:24" s="520" customFormat="1" ht="25.5" customHeight="1">
      <c r="B20" s="183">
        <v>6</v>
      </c>
      <c r="C20" s="777" t="str">
        <f>Translations!$B$1512</f>
        <v>Tuttavia, alcune altre modifiche dell'assegnazione a seguito di una fusione o di una scissione possono conformarsi alle regole di assegnazione armonizzate, purché siano soddisfatte determinate condizioni:</v>
      </c>
      <c r="D20" s="778"/>
      <c r="E20" s="778"/>
      <c r="F20" s="778"/>
      <c r="G20" s="778"/>
      <c r="H20" s="778"/>
      <c r="I20" s="778"/>
      <c r="J20" s="778"/>
      <c r="K20" s="778"/>
      <c r="L20" s="778"/>
      <c r="M20" s="7"/>
      <c r="O20" s="516"/>
      <c r="P20" s="516"/>
      <c r="Q20" s="516"/>
      <c r="R20" s="516"/>
      <c r="S20" s="516"/>
      <c r="T20" s="516"/>
      <c r="U20" s="516"/>
      <c r="V20" s="516"/>
      <c r="W20" s="516"/>
      <c r="X20" s="516"/>
    </row>
    <row r="21" spans="2:24" s="520" customFormat="1" ht="24.75" customHeight="1">
      <c r="B21" s="183"/>
      <c r="C21" s="510" t="s">
        <v>291</v>
      </c>
      <c r="D21" s="708" t="str">
        <f>Translations!$B$1513</f>
        <v>Gli impianti devono rientrare nell’ambito del sistema ETS e disporre di un’autorizzazione ad emettere gas serra prima e dopo la fusione o la scissione</v>
      </c>
      <c r="E21" s="708"/>
      <c r="F21" s="708"/>
      <c r="G21" s="708"/>
      <c r="H21" s="708"/>
      <c r="I21" s="708"/>
      <c r="J21" s="708"/>
      <c r="K21" s="708"/>
      <c r="L21" s="708"/>
      <c r="M21" s="7"/>
      <c r="O21" s="516"/>
      <c r="P21" s="516"/>
      <c r="Q21" s="516"/>
      <c r="R21" s="516"/>
      <c r="S21" s="516"/>
      <c r="T21" s="516"/>
      <c r="U21" s="516"/>
      <c r="V21" s="516"/>
      <c r="W21" s="516"/>
      <c r="X21" s="516"/>
    </row>
    <row r="22" spans="2:24" s="520" customFormat="1" ht="25.5" customHeight="1">
      <c r="B22" s="183"/>
      <c r="C22" s="510" t="s">
        <v>291</v>
      </c>
      <c r="D22" s="708" t="str">
        <f>Translations!$B$1514</f>
        <v>Una fusione o una scissione non comportano l’assegnazione di un numero maggiore di quote rispetto alle assegnazioni riportate nella tabella nazionale di assegnazione (NAT) prima della fusione o della scissione</v>
      </c>
      <c r="E22" s="708"/>
      <c r="F22" s="708"/>
      <c r="G22" s="708"/>
      <c r="H22" s="708"/>
      <c r="I22" s="708"/>
      <c r="J22" s="708"/>
      <c r="K22" s="708"/>
      <c r="L22" s="708"/>
      <c r="M22" s="7"/>
      <c r="O22" s="516"/>
      <c r="P22" s="516"/>
      <c r="Q22" s="516"/>
      <c r="R22" s="516"/>
      <c r="S22" s="516"/>
      <c r="T22" s="516"/>
      <c r="U22" s="516"/>
      <c r="V22" s="516"/>
      <c r="W22" s="516"/>
      <c r="X22" s="516"/>
    </row>
    <row r="23" spans="2:24" s="520" customFormat="1" ht="25.5" customHeight="1">
      <c r="B23" s="183"/>
      <c r="C23" s="510" t="s">
        <v>291</v>
      </c>
      <c r="D23" s="708" t="str">
        <f>Translations!$B$1515</f>
        <v>Nel caso di una fusione di impianti, conformemente all’articolo 3, lettera e), della direttiva 2003/87/CE, la fusione riguarda impianti che hanno un collegamento tecnico, svolgono le loro attività nello stesso sito e sono oggetto della medesima autorizzazione dopo la fusione</v>
      </c>
      <c r="E23" s="708"/>
      <c r="F23" s="708"/>
      <c r="G23" s="708"/>
      <c r="H23" s="708"/>
      <c r="I23" s="708"/>
      <c r="J23" s="708"/>
      <c r="K23" s="708"/>
      <c r="L23" s="708"/>
      <c r="M23" s="7"/>
      <c r="O23" s="516"/>
      <c r="P23" s="516"/>
      <c r="Q23" s="516"/>
      <c r="R23" s="516"/>
      <c r="S23" s="516"/>
      <c r="T23" s="516"/>
      <c r="U23" s="516"/>
      <c r="V23" s="516"/>
      <c r="W23" s="516"/>
      <c r="X23" s="516"/>
    </row>
    <row r="24" spans="2:24" s="520" customFormat="1" ht="24.75" customHeight="1">
      <c r="B24" s="183"/>
      <c r="C24" s="510" t="s">
        <v>291</v>
      </c>
      <c r="D24" s="708" t="str">
        <f>Translations!$B$1516</f>
        <v>Gli impianti interessati dalla fusione o dalla scissione beneficiano di un’autorizzazione ad emettere gas a effetto serra che tiene conto del loro nuovo status</v>
      </c>
      <c r="E24" s="708"/>
      <c r="F24" s="708"/>
      <c r="G24" s="708"/>
      <c r="H24" s="708"/>
      <c r="I24" s="708"/>
      <c r="J24" s="708"/>
      <c r="K24" s="708"/>
      <c r="L24" s="708"/>
      <c r="M24" s="7"/>
      <c r="O24" s="516"/>
      <c r="P24" s="516"/>
      <c r="Q24" s="516"/>
      <c r="R24" s="516"/>
      <c r="S24" s="516"/>
      <c r="T24" s="516"/>
      <c r="U24" s="516"/>
      <c r="V24" s="516"/>
      <c r="W24" s="516"/>
      <c r="X24" s="516"/>
    </row>
    <row r="25" spans="2:24" s="520" customFormat="1" ht="9" customHeight="1">
      <c r="B25" s="183"/>
      <c r="C25" s="510"/>
      <c r="D25" s="239"/>
      <c r="E25" s="239"/>
      <c r="F25" s="239"/>
      <c r="G25" s="239"/>
      <c r="H25" s="239"/>
      <c r="I25" s="239"/>
      <c r="J25" s="239"/>
      <c r="K25" s="239"/>
      <c r="L25" s="239"/>
      <c r="M25" s="7"/>
      <c r="O25" s="516"/>
      <c r="P25" s="516"/>
      <c r="Q25" s="516"/>
      <c r="R25" s="516"/>
      <c r="S25" s="516"/>
      <c r="T25" s="516"/>
      <c r="U25" s="516"/>
      <c r="V25" s="516"/>
      <c r="W25" s="516"/>
      <c r="X25" s="516"/>
    </row>
    <row r="26" spans="2:24" s="520" customFormat="1" ht="38.25" customHeight="1">
      <c r="B26" s="183">
        <v>7</v>
      </c>
      <c r="C26" s="708" t="str">
        <f>Translations!$B$1021</f>
        <v>Il presente modulo è stato elaborato per conto della Commissione dal suo consulente Umweltbundesamt GmbH, Austria.
Le opinioni espresse nel presente file rappresentano le opinioni degli autori e non necessariamente quelle della Commissione europea.</v>
      </c>
      <c r="D26" s="783"/>
      <c r="E26" s="783"/>
      <c r="F26" s="783"/>
      <c r="G26" s="783"/>
      <c r="H26" s="783"/>
      <c r="I26" s="783"/>
      <c r="J26" s="783"/>
      <c r="K26" s="783"/>
      <c r="L26" s="783"/>
      <c r="M26" s="7"/>
      <c r="O26" s="516"/>
      <c r="P26" s="516"/>
      <c r="Q26" s="516"/>
      <c r="R26" s="516"/>
      <c r="S26" s="516"/>
      <c r="T26" s="516"/>
      <c r="U26" s="516"/>
      <c r="V26" s="516"/>
      <c r="W26" s="516"/>
      <c r="X26" s="516"/>
    </row>
    <row r="27" spans="2:24" s="520" customFormat="1" ht="39.75" customHeight="1">
      <c r="B27" s="183">
        <f>B26+1</f>
        <v>8</v>
      </c>
      <c r="C27" s="761" t="str">
        <f>Translations!B1594</f>
        <v>Questa è la versione finale, approvata dal comitato sui cambiamenti climatici, nella riunione del 12 novembre 2015.</v>
      </c>
      <c r="D27" s="762"/>
      <c r="E27" s="762"/>
      <c r="F27" s="762"/>
      <c r="G27" s="762"/>
      <c r="H27" s="762"/>
      <c r="I27" s="762"/>
      <c r="J27" s="762"/>
      <c r="K27" s="762"/>
      <c r="L27" s="762"/>
      <c r="M27" s="7"/>
      <c r="O27" s="516"/>
      <c r="P27" s="516"/>
      <c r="Q27" s="516"/>
      <c r="R27" s="516"/>
      <c r="S27" s="516"/>
      <c r="T27" s="516"/>
      <c r="U27" s="516"/>
      <c r="V27" s="516"/>
      <c r="W27" s="516"/>
      <c r="X27" s="516"/>
    </row>
    <row r="28" spans="2:24" s="520" customFormat="1" ht="12.75">
      <c r="B28" s="88"/>
      <c r="C28" s="88"/>
      <c r="D28" s="88"/>
      <c r="E28" s="88"/>
      <c r="F28" s="88"/>
      <c r="G28" s="88"/>
      <c r="H28" s="88"/>
      <c r="I28" s="88"/>
      <c r="J28" s="88"/>
      <c r="K28" s="19"/>
      <c r="L28" s="19"/>
      <c r="M28" s="7"/>
      <c r="O28" s="516"/>
      <c r="P28" s="516"/>
      <c r="Q28" s="516"/>
      <c r="R28" s="516"/>
      <c r="S28" s="516"/>
      <c r="T28" s="516"/>
      <c r="U28" s="516"/>
      <c r="V28" s="516"/>
      <c r="W28" s="516"/>
      <c r="X28" s="516"/>
    </row>
    <row r="29" spans="2:24" s="520" customFormat="1" ht="15.75">
      <c r="B29" s="12"/>
      <c r="C29" s="727" t="str">
        <f>Translations!$B$295</f>
        <v>Come utilizzare questo file</v>
      </c>
      <c r="D29" s="727"/>
      <c r="E29" s="727"/>
      <c r="F29" s="727"/>
      <c r="G29" s="727"/>
      <c r="H29" s="727"/>
      <c r="I29" s="727"/>
      <c r="J29" s="727"/>
      <c r="K29" s="727"/>
      <c r="L29" s="727"/>
      <c r="M29" s="7"/>
      <c r="O29" s="516"/>
      <c r="P29" s="516"/>
      <c r="Q29" s="516"/>
      <c r="R29" s="516"/>
      <c r="S29" s="516"/>
      <c r="T29" s="516"/>
      <c r="U29" s="516"/>
      <c r="V29" s="516"/>
      <c r="W29" s="516"/>
      <c r="X29" s="516"/>
    </row>
    <row r="30" spans="2:24" s="520" customFormat="1" ht="12.75">
      <c r="B30" s="88"/>
      <c r="C30" s="88"/>
      <c r="D30" s="88"/>
      <c r="E30" s="88"/>
      <c r="F30" s="88"/>
      <c r="G30" s="88"/>
      <c r="H30" s="88"/>
      <c r="I30" s="88"/>
      <c r="J30" s="88"/>
      <c r="K30" s="19"/>
      <c r="L30" s="19"/>
      <c r="M30" s="7"/>
      <c r="O30" s="516"/>
      <c r="P30" s="516"/>
      <c r="Q30" s="516"/>
      <c r="R30" s="516"/>
      <c r="S30" s="516"/>
      <c r="T30" s="516"/>
      <c r="U30" s="516"/>
      <c r="V30" s="516"/>
      <c r="W30" s="516"/>
      <c r="X30" s="516"/>
    </row>
    <row r="31" spans="2:24" s="520" customFormat="1" ht="12.75">
      <c r="B31" s="183">
        <f>B27+1</f>
        <v>9</v>
      </c>
      <c r="C31" s="708" t="str">
        <f>Translations!$B$1009</f>
        <v>Occorre attivare il calcolo automatico (nel menù tools/options).</v>
      </c>
      <c r="D31" s="723"/>
      <c r="E31" s="723"/>
      <c r="F31" s="723"/>
      <c r="G31" s="723"/>
      <c r="H31" s="723"/>
      <c r="I31" s="723"/>
      <c r="J31" s="723"/>
      <c r="K31" s="723"/>
      <c r="L31" s="723"/>
      <c r="M31" s="7"/>
      <c r="O31" s="516"/>
      <c r="P31" s="516"/>
      <c r="Q31" s="516"/>
      <c r="R31" s="516"/>
      <c r="S31" s="516"/>
      <c r="T31" s="516"/>
      <c r="U31" s="516"/>
      <c r="V31" s="516"/>
      <c r="W31" s="516"/>
      <c r="X31" s="516"/>
    </row>
    <row r="32" spans="2:24" s="520" customFormat="1" ht="25.5" customHeight="1">
      <c r="B32" s="180"/>
      <c r="C32" s="708" t="str">
        <f>Translations!$B$1517</f>
        <v>Si raccomanda di percorrere il modulo dall'inizio alla fine. Alcune funzioni che guidano il lettore nella compilazione del modulo sono strettamente collegate a informazioni inserite precedentemente, come per esempio le celle che cambiano colore se non è necessario inserire determinate informazioni (cfr. i codici dei colori riportati di seguito).</v>
      </c>
      <c r="D32" s="723"/>
      <c r="E32" s="723"/>
      <c r="F32" s="723"/>
      <c r="G32" s="723"/>
      <c r="H32" s="723"/>
      <c r="I32" s="723"/>
      <c r="J32" s="723"/>
      <c r="K32" s="723"/>
      <c r="L32" s="723"/>
      <c r="M32" s="7"/>
      <c r="O32" s="516"/>
      <c r="P32" s="516"/>
      <c r="Q32" s="516"/>
      <c r="R32" s="516"/>
      <c r="S32" s="516"/>
      <c r="T32" s="516"/>
      <c r="U32" s="516"/>
      <c r="V32" s="516"/>
      <c r="W32" s="516"/>
      <c r="X32" s="516"/>
    </row>
    <row r="33" spans="2:24" s="520" customFormat="1" ht="39.75" customHeight="1">
      <c r="B33" s="183"/>
      <c r="C33" s="708" t="str">
        <f>Translations!$B$297</f>
        <v>Ogni volta che deve essere riportato un valore pari a zero, si raccomanda di inserirlo anziché lasciare la cella vuota. Se una cella viene lasciata vuota, l'autorità competente non può sapere se il valore non è stato riportato, è irrilevante o sconosciuto. I valori necessari per i calcoli vanno sempre inseriti (soprattutto se il valore è pari a zero, in quanto alcune formule non forniscono i risultati finché le celle corrispondenti sono vuote).</v>
      </c>
      <c r="D33" s="723"/>
      <c r="E33" s="723"/>
      <c r="F33" s="723"/>
      <c r="G33" s="723"/>
      <c r="H33" s="723"/>
      <c r="I33" s="723"/>
      <c r="J33" s="723"/>
      <c r="K33" s="723"/>
      <c r="L33" s="723"/>
      <c r="M33" s="7"/>
      <c r="O33" s="516"/>
      <c r="P33" s="516"/>
      <c r="Q33" s="516"/>
      <c r="R33" s="516"/>
      <c r="S33" s="516"/>
      <c r="T33" s="516"/>
      <c r="U33" s="516"/>
      <c r="V33" s="516"/>
      <c r="W33" s="516"/>
      <c r="X33" s="516"/>
    </row>
    <row r="34" spans="2:24" s="520" customFormat="1" ht="39.75" customHeight="1">
      <c r="B34" s="183"/>
      <c r="C34" s="708" t="str">
        <f>Translations!$B$298</f>
        <v>In alcuni campi è possibile scegliere una risposta da una rosa di informazioni predefinite. Per selezionare una voce da un "elenco a tendina" è possibile cliccare con il mouse sulla freccetta posta sul margine destro della cella o premere "Alt-CursorDown" dopo aver selezionato la cella. Alcuni campi consentono al lettore di inserire un testo proprio anche se è presente un elenco a tendina. In casi come questi gli elenchi a tendina contengono voci vuote.</v>
      </c>
      <c r="D34" s="723"/>
      <c r="E34" s="723"/>
      <c r="F34" s="723"/>
      <c r="G34" s="723"/>
      <c r="H34" s="723"/>
      <c r="I34" s="723"/>
      <c r="J34" s="723"/>
      <c r="K34" s="723"/>
      <c r="L34" s="723"/>
      <c r="M34" s="7"/>
      <c r="O34" s="516"/>
      <c r="P34" s="516"/>
      <c r="Q34" s="516"/>
      <c r="R34" s="516"/>
      <c r="S34" s="516"/>
      <c r="T34" s="516"/>
      <c r="U34" s="516"/>
      <c r="V34" s="516"/>
      <c r="W34" s="516"/>
      <c r="X34" s="516"/>
    </row>
    <row r="35" spans="2:24" s="520" customFormat="1" ht="43.5" customHeight="1">
      <c r="B35" s="183">
        <f>B31+1</f>
        <v>10</v>
      </c>
      <c r="C35" s="708" t="str">
        <f>Translations!$B$299</f>
        <v>Talvolta possono comparire messaggi di errore quando i dati inseriti sono incompleti. La mancanza di messaggi di errore non garantisce tuttavia che i calcoli siano corretti, in quanto non sempre è possibile verificare la completezza dei dati. Se non compaiono risultati in un campo verde, si può presumere che manchino ancora alcuni dati.</v>
      </c>
      <c r="D35" s="723"/>
      <c r="E35" s="723"/>
      <c r="F35" s="723"/>
      <c r="G35" s="723"/>
      <c r="H35" s="723"/>
      <c r="I35" s="723"/>
      <c r="J35" s="723"/>
      <c r="K35" s="723"/>
      <c r="L35" s="723"/>
      <c r="M35" s="7"/>
      <c r="O35" s="516"/>
      <c r="P35" s="516"/>
      <c r="Q35" s="516"/>
      <c r="R35" s="516"/>
      <c r="S35" s="516"/>
      <c r="T35" s="516"/>
      <c r="U35" s="516"/>
      <c r="V35" s="516"/>
      <c r="W35" s="516"/>
      <c r="X35" s="516"/>
    </row>
    <row r="36" spans="2:24" s="520" customFormat="1" ht="12.75" customHeight="1">
      <c r="B36" s="183"/>
      <c r="C36" s="708" t="str">
        <f>Translations!$B$300</f>
        <v>Prestare particolare attenzione alla congruenza dei dati con le unità visualizzate.</v>
      </c>
      <c r="D36" s="723"/>
      <c r="E36" s="723"/>
      <c r="F36" s="723"/>
      <c r="G36" s="723"/>
      <c r="H36" s="723"/>
      <c r="I36" s="723"/>
      <c r="J36" s="723"/>
      <c r="K36" s="723"/>
      <c r="L36" s="723"/>
      <c r="M36" s="7"/>
      <c r="O36" s="516"/>
      <c r="P36" s="516"/>
      <c r="Q36" s="516"/>
      <c r="R36" s="516"/>
      <c r="S36" s="516"/>
      <c r="T36" s="516"/>
      <c r="U36" s="516"/>
      <c r="V36" s="516"/>
      <c r="W36" s="516"/>
      <c r="X36" s="516"/>
    </row>
    <row r="37" spans="2:24" s="520" customFormat="1" ht="12.75" customHeight="1">
      <c r="B37" s="183"/>
      <c r="C37" s="182" t="str">
        <f>Translations!$B$301</f>
        <v>I messaggi di errore sono spesso molto brevi a causa dello spazio limitato disponibile. I più importanti sono:</v>
      </c>
      <c r="D37" s="19"/>
      <c r="E37" s="19"/>
      <c r="F37" s="19"/>
      <c r="G37" s="19"/>
      <c r="H37" s="19"/>
      <c r="I37" s="19"/>
      <c r="J37" s="19"/>
      <c r="K37" s="19"/>
      <c r="L37" s="19"/>
      <c r="M37" s="7"/>
      <c r="O37" s="516"/>
      <c r="P37" s="516"/>
      <c r="Q37" s="516"/>
      <c r="R37" s="516"/>
      <c r="S37" s="516"/>
      <c r="T37" s="516"/>
      <c r="U37" s="516"/>
      <c r="V37" s="516"/>
      <c r="W37" s="516"/>
      <c r="X37" s="516"/>
    </row>
    <row r="38" spans="2:24" s="520" customFormat="1" ht="12.75" customHeight="1">
      <c r="B38" s="183"/>
      <c r="C38" s="182"/>
      <c r="D38" s="184" t="str">
        <f>EUconst_Incomplete</f>
        <v>incompleto!</v>
      </c>
      <c r="E38" s="771" t="str">
        <f>Translations!$B$302</f>
        <v>Significa che i dati non sono sufficienti per il calcolo (per esempio, manca un fattore di emissione in un anno).</v>
      </c>
      <c r="F38" s="772"/>
      <c r="G38" s="772"/>
      <c r="H38" s="772"/>
      <c r="I38" s="772"/>
      <c r="J38" s="772"/>
      <c r="K38" s="772"/>
      <c r="L38" s="772"/>
      <c r="M38" s="7"/>
      <c r="O38" s="516"/>
      <c r="P38" s="516"/>
      <c r="Q38" s="516"/>
      <c r="R38" s="516"/>
      <c r="S38" s="516"/>
      <c r="T38" s="516"/>
      <c r="U38" s="516"/>
      <c r="V38" s="516"/>
      <c r="W38" s="516"/>
      <c r="X38" s="516"/>
    </row>
    <row r="39" spans="2:24" s="520" customFormat="1" ht="12.75" customHeight="1">
      <c r="B39" s="183"/>
      <c r="C39" s="182"/>
      <c r="D39" s="184" t="str">
        <f>EUconst_Inconsistent</f>
        <v>incongruente!</v>
      </c>
      <c r="E39" s="771" t="str">
        <f>Translations!$B$303</f>
        <v>Le unità selezionate sono incongruenti e i calcoli basati sui relativi dati inseriti daranno risultati errati.</v>
      </c>
      <c r="F39" s="772"/>
      <c r="G39" s="772"/>
      <c r="H39" s="772"/>
      <c r="I39" s="772"/>
      <c r="J39" s="772"/>
      <c r="K39" s="772"/>
      <c r="L39" s="772"/>
      <c r="M39" s="7"/>
      <c r="O39" s="516"/>
      <c r="P39" s="516"/>
      <c r="Q39" s="516"/>
      <c r="R39" s="516"/>
      <c r="S39" s="516"/>
      <c r="T39" s="516"/>
      <c r="U39" s="516"/>
      <c r="V39" s="516"/>
      <c r="W39" s="516"/>
      <c r="X39" s="516"/>
    </row>
    <row r="40" spans="2:24" s="520" customFormat="1" ht="12.75" customHeight="1">
      <c r="B40" s="183"/>
      <c r="C40" s="182"/>
      <c r="D40" s="185" t="str">
        <f>Translations!$B$304</f>
        <v>Dati inseriti in A.III.3!</v>
      </c>
      <c r="E40" s="767" t="str">
        <f>Translations!$B$305</f>
        <v>Si tratta di riferimenti alle sezioni del documento. Significa che mancano i dati nelle sezioni cui si fa riferimento.</v>
      </c>
      <c r="F40" s="768"/>
      <c r="G40" s="768"/>
      <c r="H40" s="768"/>
      <c r="I40" s="768"/>
      <c r="J40" s="768"/>
      <c r="K40" s="768"/>
      <c r="L40" s="768"/>
      <c r="M40" s="7"/>
      <c r="O40" s="516"/>
      <c r="P40" s="516"/>
      <c r="Q40" s="516"/>
      <c r="R40" s="516"/>
      <c r="S40" s="516"/>
      <c r="T40" s="516"/>
      <c r="U40" s="516"/>
      <c r="V40" s="516"/>
      <c r="W40" s="516"/>
      <c r="X40" s="516"/>
    </row>
    <row r="41" spans="2:24" s="520" customFormat="1" ht="12.75" customHeight="1">
      <c r="B41" s="183"/>
      <c r="C41" s="182"/>
      <c r="D41" s="186" t="s">
        <v>259</v>
      </c>
      <c r="E41" s="769"/>
      <c r="F41" s="770"/>
      <c r="G41" s="770"/>
      <c r="H41" s="770"/>
      <c r="I41" s="770"/>
      <c r="J41" s="770"/>
      <c r="K41" s="770"/>
      <c r="L41" s="770"/>
      <c r="M41" s="7"/>
      <c r="O41" s="516"/>
      <c r="P41" s="516"/>
      <c r="Q41" s="516"/>
      <c r="R41" s="516"/>
      <c r="S41" s="516"/>
      <c r="T41" s="516"/>
      <c r="U41" s="516"/>
      <c r="V41" s="516"/>
      <c r="W41" s="516"/>
      <c r="X41" s="516"/>
    </row>
    <row r="42" spans="2:24" s="520" customFormat="1" ht="12.75" customHeight="1">
      <c r="B42" s="183"/>
      <c r="C42" s="182"/>
      <c r="D42" s="182"/>
      <c r="E42" s="182"/>
      <c r="F42" s="182"/>
      <c r="G42" s="182"/>
      <c r="H42" s="182"/>
      <c r="I42" s="182"/>
      <c r="J42" s="182"/>
      <c r="K42" s="182"/>
      <c r="L42" s="182"/>
      <c r="M42" s="7"/>
      <c r="O42" s="516"/>
      <c r="P42" s="516"/>
      <c r="Q42" s="516"/>
      <c r="R42" s="516"/>
      <c r="S42" s="516"/>
      <c r="T42" s="516"/>
      <c r="U42" s="516"/>
      <c r="V42" s="516"/>
      <c r="W42" s="516"/>
      <c r="X42" s="516"/>
    </row>
    <row r="43" spans="2:24" s="509" customFormat="1" ht="12.75" customHeight="1">
      <c r="B43" s="183">
        <f>B35+1</f>
        <v>11</v>
      </c>
      <c r="C43" s="752" t="str">
        <f>Translations!$B$306</f>
        <v>Codici di colore e font:</v>
      </c>
      <c r="D43" s="724"/>
      <c r="E43" s="724"/>
      <c r="F43" s="724"/>
      <c r="G43" s="724"/>
      <c r="H43" s="724"/>
      <c r="I43" s="724"/>
      <c r="J43" s="724"/>
      <c r="K43" s="724"/>
      <c r="L43" s="724"/>
      <c r="M43" s="95"/>
      <c r="O43" s="517"/>
      <c r="P43" s="517"/>
      <c r="Q43" s="517"/>
      <c r="R43" s="517"/>
      <c r="S43" s="517"/>
      <c r="T43" s="517"/>
      <c r="U43" s="517"/>
      <c r="V43" s="517"/>
      <c r="W43" s="517"/>
      <c r="X43" s="517"/>
    </row>
    <row r="44" spans="2:24" s="509" customFormat="1" ht="12.75" customHeight="1">
      <c r="B44" s="94"/>
      <c r="C44" s="728" t="str">
        <f>Translations!$B$307</f>
        <v>Testo nero in grassetto:</v>
      </c>
      <c r="D44" s="724"/>
      <c r="E44" s="760" t="str">
        <f>Translations!$B$308</f>
        <v>Si tratta di un testo che descrive i dati da inserire.</v>
      </c>
      <c r="F44" s="760"/>
      <c r="G44" s="760"/>
      <c r="H44" s="760"/>
      <c r="I44" s="760"/>
      <c r="J44" s="760"/>
      <c r="K44" s="760"/>
      <c r="L44" s="748"/>
      <c r="M44" s="95"/>
      <c r="O44" s="517"/>
      <c r="P44" s="517"/>
      <c r="Q44" s="517"/>
      <c r="R44" s="517"/>
      <c r="S44" s="517"/>
      <c r="T44" s="517"/>
      <c r="U44" s="517"/>
      <c r="V44" s="517"/>
      <c r="W44" s="517"/>
      <c r="X44" s="517"/>
    </row>
    <row r="45" spans="2:24" s="509" customFormat="1" ht="12.75">
      <c r="B45" s="94"/>
      <c r="C45" s="753" t="str">
        <f>Translations!$B$309</f>
        <v>Testo con caratteri più piccoli in corsivo:</v>
      </c>
      <c r="D45" s="754"/>
      <c r="E45" s="760" t="str">
        <f>Translations!$B$310</f>
        <v>Si tratta di un testo che fornisce ulteriori spiegazioni. </v>
      </c>
      <c r="F45" s="760"/>
      <c r="G45" s="760"/>
      <c r="H45" s="760"/>
      <c r="I45" s="760"/>
      <c r="J45" s="760"/>
      <c r="K45" s="760"/>
      <c r="L45" s="748"/>
      <c r="M45" s="95"/>
      <c r="O45" s="517"/>
      <c r="P45" s="517"/>
      <c r="Q45" s="517"/>
      <c r="R45" s="517"/>
      <c r="S45" s="517"/>
      <c r="T45" s="517"/>
      <c r="U45" s="517"/>
      <c r="V45" s="517"/>
      <c r="W45" s="517"/>
      <c r="X45" s="517"/>
    </row>
    <row r="46" spans="2:24" s="509" customFormat="1" ht="24.75" customHeight="1">
      <c r="B46" s="94"/>
      <c r="C46" s="755"/>
      <c r="D46" s="756"/>
      <c r="E46" s="760" t="str">
        <f>Translations!$B$311</f>
        <v>I campi in giallo devono essere compilati. Tuttavia, se l'argomento non è pertinente per l'impianto, non è richiesto alcun dato.</v>
      </c>
      <c r="F46" s="760"/>
      <c r="G46" s="760"/>
      <c r="H46" s="760"/>
      <c r="I46" s="760"/>
      <c r="J46" s="760"/>
      <c r="K46" s="760"/>
      <c r="L46" s="748"/>
      <c r="M46" s="95"/>
      <c r="O46" s="517"/>
      <c r="P46" s="517"/>
      <c r="Q46" s="517"/>
      <c r="R46" s="517"/>
      <c r="S46" s="517"/>
      <c r="T46" s="517"/>
      <c r="U46" s="517"/>
      <c r="V46" s="517"/>
      <c r="W46" s="517"/>
      <c r="X46" s="517"/>
    </row>
    <row r="47" spans="2:24" s="509" customFormat="1" ht="26.25" customHeight="1">
      <c r="B47" s="94"/>
      <c r="C47" s="773"/>
      <c r="D47" s="774"/>
      <c r="E47" s="747" t="str">
        <f>Translations!$B$312</f>
        <v>I campi in giallo chiaro indicano che l'inserimento di dati è facoltativo.</v>
      </c>
      <c r="F47" s="748"/>
      <c r="G47" s="748"/>
      <c r="H47" s="748"/>
      <c r="I47" s="748"/>
      <c r="J47" s="748"/>
      <c r="K47" s="748"/>
      <c r="L47" s="748"/>
      <c r="M47" s="95"/>
      <c r="O47" s="517"/>
      <c r="P47" s="517"/>
      <c r="Q47" s="517"/>
      <c r="R47" s="517"/>
      <c r="S47" s="517"/>
      <c r="T47" s="517"/>
      <c r="U47" s="517"/>
      <c r="V47" s="517"/>
      <c r="W47" s="517"/>
      <c r="X47" s="517"/>
    </row>
    <row r="48" spans="2:24" s="509" customFormat="1" ht="25.5" customHeight="1">
      <c r="B48" s="94"/>
      <c r="C48" s="775"/>
      <c r="D48" s="776"/>
      <c r="E48" s="747" t="str">
        <f>Translations!$B$313</f>
        <v>I campi in verde indicano i risultati calcolati automaticamente. Il testo in rosso indica i messaggi di errore (dati mancanti e simili).</v>
      </c>
      <c r="F48" s="748"/>
      <c r="G48" s="748"/>
      <c r="H48" s="748"/>
      <c r="I48" s="748"/>
      <c r="J48" s="748"/>
      <c r="K48" s="748"/>
      <c r="L48" s="748"/>
      <c r="M48" s="95"/>
      <c r="O48" s="517"/>
      <c r="P48" s="517"/>
      <c r="Q48" s="517"/>
      <c r="R48" s="517"/>
      <c r="S48" s="517"/>
      <c r="T48" s="517"/>
      <c r="U48" s="517"/>
      <c r="V48" s="517"/>
      <c r="W48" s="517"/>
      <c r="X48" s="517"/>
    </row>
    <row r="49" spans="2:24" s="509" customFormat="1" ht="26.25" customHeight="1">
      <c r="B49" s="94"/>
      <c r="C49" s="763"/>
      <c r="D49" s="764"/>
      <c r="E49" s="747" t="str">
        <f>Translations!$B$314</f>
        <v>I campi ombreggiati possono non essere compilati, perché è già stato compilato un altro campo obbligatorio.</v>
      </c>
      <c r="F49" s="760"/>
      <c r="G49" s="760"/>
      <c r="H49" s="760"/>
      <c r="I49" s="760"/>
      <c r="J49" s="760"/>
      <c r="K49" s="760"/>
      <c r="L49" s="760"/>
      <c r="M49" s="95"/>
      <c r="O49" s="517"/>
      <c r="P49" s="517"/>
      <c r="Q49" s="517"/>
      <c r="R49" s="517"/>
      <c r="S49" s="517"/>
      <c r="T49" s="517"/>
      <c r="U49" s="517"/>
      <c r="V49" s="517"/>
      <c r="W49" s="517"/>
      <c r="X49" s="517"/>
    </row>
    <row r="50" spans="2:24" s="509" customFormat="1" ht="23.25" customHeight="1">
      <c r="B50" s="94"/>
      <c r="C50" s="750"/>
      <c r="D50" s="750"/>
      <c r="E50" s="760" t="str">
        <f>Translations!$B$315</f>
        <v>Le aree grigie dovrebbero essere compilate dagli Stati membri prima della pubblicazione della versione personalizzata del modello.</v>
      </c>
      <c r="F50" s="760"/>
      <c r="G50" s="760"/>
      <c r="H50" s="760"/>
      <c r="I50" s="760"/>
      <c r="J50" s="760"/>
      <c r="K50" s="760"/>
      <c r="L50" s="760"/>
      <c r="M50" s="95"/>
      <c r="O50" s="517"/>
      <c r="P50" s="517"/>
      <c r="Q50" s="517"/>
      <c r="R50" s="517"/>
      <c r="S50" s="517"/>
      <c r="T50" s="517"/>
      <c r="U50" s="517"/>
      <c r="V50" s="517"/>
      <c r="W50" s="517"/>
      <c r="X50" s="517"/>
    </row>
    <row r="51" spans="2:24" s="509" customFormat="1" ht="25.5" customHeight="1">
      <c r="B51" s="94"/>
      <c r="C51" s="751"/>
      <c r="D51" s="751"/>
      <c r="E51" s="760" t="str">
        <f>Translations!$B$316</f>
        <v>Le aree evidenziate in grigio chiaro sono dedicate alla navigazione e agli hyperlink.</v>
      </c>
      <c r="F51" s="760"/>
      <c r="G51" s="760"/>
      <c r="H51" s="760"/>
      <c r="I51" s="760"/>
      <c r="J51" s="760"/>
      <c r="K51" s="760"/>
      <c r="L51" s="760"/>
      <c r="M51" s="95"/>
      <c r="O51" s="517"/>
      <c r="P51" s="517"/>
      <c r="Q51" s="517"/>
      <c r="R51" s="517"/>
      <c r="S51" s="517"/>
      <c r="T51" s="517"/>
      <c r="U51" s="517"/>
      <c r="V51" s="517"/>
      <c r="W51" s="517"/>
      <c r="X51" s="517"/>
    </row>
    <row r="52" spans="2:24" s="509" customFormat="1" ht="12.75">
      <c r="B52" s="94"/>
      <c r="C52" s="96"/>
      <c r="D52" s="97"/>
      <c r="E52" s="94"/>
      <c r="F52" s="94"/>
      <c r="G52" s="94"/>
      <c r="H52" s="94"/>
      <c r="I52" s="94"/>
      <c r="J52" s="94"/>
      <c r="K52" s="94"/>
      <c r="L52" s="95"/>
      <c r="M52" s="95"/>
      <c r="O52" s="517"/>
      <c r="P52" s="517"/>
      <c r="Q52" s="517"/>
      <c r="R52" s="517"/>
      <c r="S52" s="517"/>
      <c r="T52" s="517"/>
      <c r="U52" s="517"/>
      <c r="V52" s="517"/>
      <c r="W52" s="517"/>
      <c r="X52" s="517"/>
    </row>
    <row r="53" spans="2:24" s="520" customFormat="1" ht="39.75" customHeight="1">
      <c r="B53" s="183">
        <f>B43+1</f>
        <v>12</v>
      </c>
      <c r="C53" s="708" t="str">
        <f>Translations!$B$317</f>
        <v>I pannelli di navigazione nella parte superiore di ogni foglio forniscono hyperlink per passare rapidamente a singole sezioni di dati. La prima riga ("Indice", "Foglio precedente", "Foglio successivo", "Sintesi") e i punti "Inizio foglio" e "Fine foglio" sono identici per tutti i fogli. A seconda del foglio, si aggiungono altre opzioni del menu. Se lo sfondo di una delle aree degli hyperlink diventa rosso, mancano i dati nella relativa sezione (non i tutti i fogli)</v>
      </c>
      <c r="D53" s="723"/>
      <c r="E53" s="723"/>
      <c r="F53" s="723"/>
      <c r="G53" s="723"/>
      <c r="H53" s="723"/>
      <c r="I53" s="723"/>
      <c r="J53" s="723"/>
      <c r="K53" s="723"/>
      <c r="L53" s="723"/>
      <c r="M53" s="7"/>
      <c r="O53" s="516"/>
      <c r="P53" s="516"/>
      <c r="Q53" s="516"/>
      <c r="R53" s="516"/>
      <c r="S53" s="516"/>
      <c r="T53" s="516"/>
      <c r="U53" s="516"/>
      <c r="V53" s="516"/>
      <c r="W53" s="516"/>
      <c r="X53" s="516"/>
    </row>
    <row r="54" spans="2:24" s="520" customFormat="1" ht="57" customHeight="1">
      <c r="B54" s="183">
        <f>B53+1</f>
        <v>13</v>
      </c>
      <c r="C54" s="708" t="str">
        <f>Translations!$B$318</f>
        <v>In questo modello è stato bloccato l'inserimento di dati, fatta eccezione per i campi verdi. Per motivi di trasparenza, non è stato tuttavia stabilito l'uso di una password, in modo da consentire una visualizzazione completa di tutte le formule. Quando si usa questo file per inserire i dati, si raccomanda di mantenere la protezione attivata. La protezione deve essere disattivata soltanto per verificare la validità delle formule. Si raccomanda di eseguire questa operazione in un file separato.</v>
      </c>
      <c r="D54" s="723"/>
      <c r="E54" s="723"/>
      <c r="F54" s="723"/>
      <c r="G54" s="723"/>
      <c r="H54" s="723"/>
      <c r="I54" s="723"/>
      <c r="J54" s="723"/>
      <c r="K54" s="723"/>
      <c r="L54" s="723"/>
      <c r="M54" s="7"/>
      <c r="O54" s="516"/>
      <c r="P54" s="516"/>
      <c r="Q54" s="516"/>
      <c r="R54" s="516"/>
      <c r="S54" s="516"/>
      <c r="T54" s="516"/>
      <c r="U54" s="516"/>
      <c r="V54" s="516"/>
      <c r="W54" s="516"/>
      <c r="X54" s="516"/>
    </row>
    <row r="55" spans="2:24" s="520" customFormat="1" ht="39.75" customHeight="1">
      <c r="B55" s="183">
        <f>B54+1</f>
        <v>14</v>
      </c>
      <c r="C55" s="725" t="str">
        <f>Translations!$B$319</f>
        <v>Per evitare di modificare involontariamente le formule, con la conseguenza di risultati errati e fuorvianti, 
è molto importante NON USARE la funzione TAGLIA &amp; INCOLLA.
Eventuali dati da spostare devono essere COPIATI e INCOLLATI, cancellando successivamente i dati indesiderati nella posizione precedente (errata).</v>
      </c>
      <c r="D55" s="726"/>
      <c r="E55" s="726"/>
      <c r="F55" s="726"/>
      <c r="G55" s="726"/>
      <c r="H55" s="726"/>
      <c r="I55" s="726"/>
      <c r="J55" s="726"/>
      <c r="K55" s="726"/>
      <c r="L55" s="726"/>
      <c r="M55" s="7"/>
      <c r="O55" s="516"/>
      <c r="P55" s="516"/>
      <c r="Q55" s="516"/>
      <c r="R55" s="516"/>
      <c r="S55" s="516"/>
      <c r="T55" s="516"/>
      <c r="U55" s="516"/>
      <c r="V55" s="516"/>
      <c r="W55" s="516"/>
      <c r="X55" s="516"/>
    </row>
    <row r="56" spans="2:24" s="520" customFormat="1" ht="51.75" customHeight="1">
      <c r="B56" s="183">
        <f>B55+1</f>
        <v>15</v>
      </c>
      <c r="C56" s="708" t="str">
        <f>Translations!$B$320</f>
        <v>I campi di dati non sono stati ottimizzati per i formati numerici e di altro tipo. La protezione dei fogli è stata tuttavia limitata per consentire l'uso di propri formati. In particolare, è possibile decidere il numero di posizioni decimali da visualizzare. Il numero di posizioni decimali è in linea di principio indipendente dalla precisione del calcolo. In linea di massima deve essere disattivata l'opzione "Approssimazione come visualizzata" di Excel. Per maggiori informazioni, consultare la Guida di Excel sull'argomento.</v>
      </c>
      <c r="D56" s="723"/>
      <c r="E56" s="723"/>
      <c r="F56" s="723"/>
      <c r="G56" s="723"/>
      <c r="H56" s="723"/>
      <c r="I56" s="723"/>
      <c r="J56" s="723"/>
      <c r="K56" s="723"/>
      <c r="L56" s="723"/>
      <c r="M56" s="7"/>
      <c r="O56" s="516"/>
      <c r="P56" s="516"/>
      <c r="Q56" s="516"/>
      <c r="R56" s="516"/>
      <c r="S56" s="516"/>
      <c r="T56" s="516"/>
      <c r="U56" s="516"/>
      <c r="V56" s="516"/>
      <c r="W56" s="516"/>
      <c r="X56" s="516"/>
    </row>
    <row r="57" spans="2:24" s="520" customFormat="1" ht="12.75" customHeight="1" thickBot="1">
      <c r="B57" s="180"/>
      <c r="C57" s="708"/>
      <c r="D57" s="723"/>
      <c r="E57" s="723"/>
      <c r="F57" s="723"/>
      <c r="G57" s="723"/>
      <c r="H57" s="723"/>
      <c r="I57" s="723"/>
      <c r="J57" s="723"/>
      <c r="K57" s="723"/>
      <c r="L57" s="723"/>
      <c r="M57" s="7"/>
      <c r="O57" s="516"/>
      <c r="P57" s="516"/>
      <c r="Q57" s="516"/>
      <c r="R57" s="516"/>
      <c r="S57" s="516"/>
      <c r="T57" s="516"/>
      <c r="U57" s="516"/>
      <c r="V57" s="516"/>
      <c r="W57" s="516"/>
      <c r="X57" s="516"/>
    </row>
    <row r="58" spans="2:24" s="520" customFormat="1" ht="94.5" customHeight="1" thickBot="1">
      <c r="B58" s="183">
        <f>B56+1</f>
        <v>16</v>
      </c>
      <c r="C58" s="757" t="str">
        <f>Translations!$B$321</f>
        <v>CLAUSOLA DI ESONERO DALLA RESPONSABILITÀ: tutte le formule sono state create in modo particolarmente scrupoloso, tuttavia non può essere completamente esclusa la presenza di errori.
Come descritto in precedenza, è garantita la piena trasparenza per la verifica della validità dei calcoli. Né gli autori di questo file né la Commissione europea possono essere ritenuti responsabili di eventuali danni derivanti da risultati errati o fuorvianti dei calcoli forniti.
Spetta all'utente di questo file (per esempio, il gestore di un impianto rientrante nel sistema ETS) la responsabilità di garantire la comunicazione dei dati corretti all'autorità competente.</v>
      </c>
      <c r="D58" s="758"/>
      <c r="E58" s="758"/>
      <c r="F58" s="758"/>
      <c r="G58" s="758"/>
      <c r="H58" s="758"/>
      <c r="I58" s="758"/>
      <c r="J58" s="758"/>
      <c r="K58" s="758"/>
      <c r="L58" s="759"/>
      <c r="M58" s="7"/>
      <c r="O58" s="516"/>
      <c r="P58" s="516"/>
      <c r="Q58" s="516"/>
      <c r="R58" s="516"/>
      <c r="S58" s="516"/>
      <c r="T58" s="516"/>
      <c r="U58" s="516"/>
      <c r="V58" s="516"/>
      <c r="W58" s="516"/>
      <c r="X58" s="516"/>
    </row>
    <row r="59" spans="2:13" ht="12.75">
      <c r="B59" s="83"/>
      <c r="C59" s="83"/>
      <c r="D59" s="83"/>
      <c r="E59" s="83"/>
      <c r="F59" s="83"/>
      <c r="G59" s="83"/>
      <c r="H59" s="83"/>
      <c r="I59" s="83"/>
      <c r="J59" s="83"/>
      <c r="K59" s="83"/>
      <c r="L59" s="86"/>
      <c r="M59" s="86"/>
    </row>
    <row r="60" spans="2:13" ht="12.75">
      <c r="B60" s="83"/>
      <c r="C60" s="83"/>
      <c r="D60" s="83"/>
      <c r="E60" s="83"/>
      <c r="F60" s="83"/>
      <c r="G60" s="83"/>
      <c r="H60" s="83"/>
      <c r="I60" s="83"/>
      <c r="J60" s="83"/>
      <c r="K60" s="83"/>
      <c r="L60" s="86"/>
      <c r="M60" s="86"/>
    </row>
    <row r="61" spans="2:24" s="520" customFormat="1" ht="15.75">
      <c r="B61" s="12"/>
      <c r="C61" s="727" t="str">
        <f>Translations!$B$322</f>
        <v>Informazioni specifiche riguardanti gli Stati membri:</v>
      </c>
      <c r="D61" s="727"/>
      <c r="E61" s="727"/>
      <c r="F61" s="727"/>
      <c r="G61" s="727"/>
      <c r="H61" s="727"/>
      <c r="I61" s="727"/>
      <c r="J61" s="727"/>
      <c r="K61" s="727"/>
      <c r="L61" s="727"/>
      <c r="M61" s="7"/>
      <c r="O61" s="516"/>
      <c r="P61" s="516"/>
      <c r="Q61" s="516"/>
      <c r="R61" s="516"/>
      <c r="S61" s="516"/>
      <c r="T61" s="516"/>
      <c r="U61" s="516"/>
      <c r="V61" s="516"/>
      <c r="W61" s="516"/>
      <c r="X61" s="516"/>
    </row>
    <row r="62" spans="2:24" s="520" customFormat="1" ht="12.75">
      <c r="B62" s="88"/>
      <c r="C62" s="88"/>
      <c r="D62" s="88"/>
      <c r="E62" s="88"/>
      <c r="F62" s="88"/>
      <c r="G62" s="88"/>
      <c r="H62" s="88"/>
      <c r="I62" s="88"/>
      <c r="J62" s="88"/>
      <c r="K62" s="19"/>
      <c r="L62" s="19"/>
      <c r="M62" s="7"/>
      <c r="O62" s="516"/>
      <c r="P62" s="516"/>
      <c r="Q62" s="516"/>
      <c r="R62" s="516"/>
      <c r="S62" s="516"/>
      <c r="T62" s="516"/>
      <c r="U62" s="516"/>
      <c r="V62" s="516"/>
      <c r="W62" s="516"/>
      <c r="X62" s="516"/>
    </row>
    <row r="63" spans="2:24" s="520" customFormat="1" ht="15" customHeight="1">
      <c r="B63" s="19"/>
      <c r="C63" s="716" t="str">
        <f>Translations!$B$323</f>
        <v>La presente comunicazione deve essere inviata all'autorità competente al seguente indirizzo:</v>
      </c>
      <c r="D63" s="716"/>
      <c r="E63" s="716"/>
      <c r="F63" s="716"/>
      <c r="G63" s="716"/>
      <c r="H63" s="716"/>
      <c r="I63" s="716"/>
      <c r="J63" s="716"/>
      <c r="K63" s="716"/>
      <c r="L63" s="716"/>
      <c r="M63" s="7"/>
      <c r="O63" s="516"/>
      <c r="P63" s="516"/>
      <c r="Q63" s="516"/>
      <c r="R63" s="516"/>
      <c r="S63" s="516"/>
      <c r="T63" s="516"/>
      <c r="U63" s="516"/>
      <c r="V63" s="516"/>
      <c r="W63" s="516"/>
      <c r="X63" s="516"/>
    </row>
    <row r="64" spans="2:13" ht="12.75">
      <c r="B64" s="94"/>
      <c r="C64" s="94"/>
      <c r="D64" s="94"/>
      <c r="E64" s="94"/>
      <c r="F64" s="94"/>
      <c r="G64" s="94"/>
      <c r="H64" s="94"/>
      <c r="I64" s="94"/>
      <c r="J64" s="94"/>
      <c r="K64" s="94"/>
      <c r="L64" s="95"/>
      <c r="M64" s="86"/>
    </row>
    <row r="65" spans="2:13" ht="12.75">
      <c r="B65" s="94"/>
      <c r="C65" s="94"/>
      <c r="D65" s="94"/>
      <c r="E65" s="729" t="str">
        <f>Translations!$B$324</f>
        <v>ets@minambiente.it</v>
      </c>
      <c r="F65" s="730"/>
      <c r="G65" s="730"/>
      <c r="H65" s="731"/>
      <c r="I65" s="94"/>
      <c r="J65" s="94"/>
      <c r="K65" s="94"/>
      <c r="L65" s="95"/>
      <c r="M65" s="86"/>
    </row>
    <row r="66" spans="2:13" ht="12.75">
      <c r="B66" s="94"/>
      <c r="C66" s="94"/>
      <c r="D66" s="94"/>
      <c r="E66" s="732"/>
      <c r="F66" s="733"/>
      <c r="G66" s="733"/>
      <c r="H66" s="734"/>
      <c r="I66" s="94"/>
      <c r="J66" s="94"/>
      <c r="K66" s="94"/>
      <c r="L66" s="95"/>
      <c r="M66" s="86"/>
    </row>
    <row r="67" spans="2:13" ht="12.75">
      <c r="B67" s="94"/>
      <c r="C67" s="94"/>
      <c r="D67" s="94"/>
      <c r="E67" s="732"/>
      <c r="F67" s="733"/>
      <c r="G67" s="733"/>
      <c r="H67" s="734"/>
      <c r="I67" s="94"/>
      <c r="J67" s="94"/>
      <c r="K67" s="94"/>
      <c r="L67" s="95"/>
      <c r="M67" s="86"/>
    </row>
    <row r="68" spans="2:13" ht="12.75">
      <c r="B68" s="94"/>
      <c r="C68" s="83"/>
      <c r="D68" s="94"/>
      <c r="E68" s="732"/>
      <c r="F68" s="733"/>
      <c r="G68" s="733"/>
      <c r="H68" s="734"/>
      <c r="I68" s="94"/>
      <c r="J68" s="94"/>
      <c r="K68" s="94"/>
      <c r="L68" s="95"/>
      <c r="M68" s="86"/>
    </row>
    <row r="69" spans="2:13" ht="12.75">
      <c r="B69" s="94"/>
      <c r="C69" s="94"/>
      <c r="D69" s="94"/>
      <c r="E69" s="732"/>
      <c r="F69" s="733"/>
      <c r="G69" s="733"/>
      <c r="H69" s="734"/>
      <c r="I69" s="94"/>
      <c r="J69" s="94"/>
      <c r="K69" s="94"/>
      <c r="L69" s="95"/>
      <c r="M69" s="86"/>
    </row>
    <row r="70" spans="2:13" ht="12.75">
      <c r="B70" s="94"/>
      <c r="C70" s="94"/>
      <c r="D70" s="94"/>
      <c r="E70" s="732"/>
      <c r="F70" s="733"/>
      <c r="G70" s="733"/>
      <c r="H70" s="734"/>
      <c r="I70" s="94"/>
      <c r="J70" s="94"/>
      <c r="K70" s="94"/>
      <c r="L70" s="95"/>
      <c r="M70" s="86"/>
    </row>
    <row r="71" spans="2:13" ht="12.75">
      <c r="B71" s="94"/>
      <c r="C71" s="94"/>
      <c r="D71" s="94"/>
      <c r="E71" s="732"/>
      <c r="F71" s="733"/>
      <c r="G71" s="733"/>
      <c r="H71" s="734"/>
      <c r="I71" s="94"/>
      <c r="J71" s="94"/>
      <c r="K71" s="94"/>
      <c r="L71" s="95"/>
      <c r="M71" s="86"/>
    </row>
    <row r="72" spans="2:13" ht="12.75">
      <c r="B72" s="94"/>
      <c r="C72" s="94"/>
      <c r="D72" s="94"/>
      <c r="E72" s="735"/>
      <c r="F72" s="736"/>
      <c r="G72" s="736"/>
      <c r="H72" s="737"/>
      <c r="I72" s="94"/>
      <c r="J72" s="94"/>
      <c r="K72" s="94"/>
      <c r="L72" s="95"/>
      <c r="M72" s="86"/>
    </row>
    <row r="73" spans="2:13" ht="12.75">
      <c r="B73" s="94"/>
      <c r="C73" s="94"/>
      <c r="D73" s="94"/>
      <c r="E73" s="94"/>
      <c r="F73" s="94"/>
      <c r="G73" s="94"/>
      <c r="H73" s="94"/>
      <c r="I73" s="94"/>
      <c r="J73" s="94"/>
      <c r="K73" s="94"/>
      <c r="L73" s="95"/>
      <c r="M73" s="86"/>
    </row>
    <row r="74" spans="2:13" ht="12.75">
      <c r="B74" s="83"/>
      <c r="C74" s="83"/>
      <c r="D74" s="83"/>
      <c r="E74" s="83"/>
      <c r="F74" s="83"/>
      <c r="G74" s="83"/>
      <c r="H74" s="83"/>
      <c r="I74" s="83"/>
      <c r="J74" s="83"/>
      <c r="K74" s="83"/>
      <c r="L74" s="86"/>
      <c r="M74" s="86"/>
    </row>
    <row r="75" spans="2:13" ht="15.75">
      <c r="B75" s="86"/>
      <c r="C75" s="749" t="str">
        <f>Translations!$B$325</f>
        <v>Fonti di informazioni:</v>
      </c>
      <c r="D75" s="749"/>
      <c r="E75" s="749"/>
      <c r="F75" s="749"/>
      <c r="G75" s="749"/>
      <c r="H75" s="749"/>
      <c r="I75" s="749"/>
      <c r="J75" s="749"/>
      <c r="K75" s="749"/>
      <c r="L75" s="749"/>
      <c r="M75" s="86"/>
    </row>
    <row r="76" spans="2:13" ht="12.75">
      <c r="B76" s="86"/>
      <c r="C76" s="728" t="str">
        <f>Translations!$B$326</f>
        <v>Siti Internet dell'UE:</v>
      </c>
      <c r="D76" s="724"/>
      <c r="E76" s="724"/>
      <c r="F76" s="724"/>
      <c r="G76" s="724"/>
      <c r="H76" s="724"/>
      <c r="I76" s="724"/>
      <c r="J76" s="724"/>
      <c r="K76" s="724"/>
      <c r="L76" s="724"/>
      <c r="M76" s="86"/>
    </row>
    <row r="77" spans="2:13" ht="12.75">
      <c r="B77" s="86"/>
      <c r="C77" s="716" t="str">
        <f>Translations!$B$327</f>
        <v>Normativa dell'UE:</v>
      </c>
      <c r="D77" s="716"/>
      <c r="E77" s="721" t="str">
        <f>Translations!$B$328</f>
        <v>http://eur-lex.europa.eu/en/index.htm </v>
      </c>
      <c r="F77" s="724"/>
      <c r="G77" s="724"/>
      <c r="H77" s="724"/>
      <c r="I77" s="724"/>
      <c r="J77" s="724"/>
      <c r="K77" s="724"/>
      <c r="L77" s="724"/>
      <c r="M77" s="86"/>
    </row>
    <row r="78" spans="2:13" ht="12.75">
      <c r="B78" s="86"/>
      <c r="C78" s="716" t="str">
        <f>Translations!$B$329</f>
        <v>Sistema ETS dell'UE in generale:</v>
      </c>
      <c r="D78" s="716"/>
      <c r="E78" s="721" t="str">
        <f>Translations!$B$330</f>
        <v>http://ec.europa.eu/clima/policies/ets/index_en.htm</v>
      </c>
      <c r="F78" s="724"/>
      <c r="G78" s="724"/>
      <c r="H78" s="724"/>
      <c r="I78" s="724"/>
      <c r="J78" s="724"/>
      <c r="K78" s="724"/>
      <c r="L78" s="724"/>
      <c r="M78" s="86"/>
    </row>
    <row r="79" spans="2:13" ht="12.75">
      <c r="B79" s="86"/>
      <c r="C79" s="715" t="str">
        <f>Translations!$B$1024</f>
        <v>Documenti di orientamento e moduli pubblicati dalla Commissione riguardo alle regole di assegnazione:</v>
      </c>
      <c r="D79" s="724"/>
      <c r="E79" s="724"/>
      <c r="F79" s="724"/>
      <c r="G79" s="724"/>
      <c r="H79" s="724"/>
      <c r="I79" s="724"/>
      <c r="J79" s="724"/>
      <c r="K79" s="724"/>
      <c r="L79" s="724"/>
      <c r="M79" s="86"/>
    </row>
    <row r="80" spans="2:13" ht="12.75">
      <c r="B80" s="86"/>
      <c r="C80" s="715"/>
      <c r="D80" s="716"/>
      <c r="E80" s="721" t="str">
        <f>Translations!$B$1025</f>
        <v>http://ec.europa.eu/clima/policies/ets/benchmarking/documentation_en.htm</v>
      </c>
      <c r="F80" s="722"/>
      <c r="G80" s="722"/>
      <c r="H80" s="722"/>
      <c r="I80" s="722"/>
      <c r="J80" s="722"/>
      <c r="K80" s="722"/>
      <c r="L80" s="722"/>
      <c r="M80" s="86"/>
    </row>
    <row r="81" spans="2:13" ht="12.75">
      <c r="B81" s="83"/>
      <c r="C81" s="83"/>
      <c r="D81" s="181"/>
      <c r="E81" s="5"/>
      <c r="F81" s="5"/>
      <c r="G81" s="5"/>
      <c r="H81" s="5"/>
      <c r="I81" s="5"/>
      <c r="J81" s="83"/>
      <c r="K81" s="83"/>
      <c r="L81" s="86"/>
      <c r="M81" s="86"/>
    </row>
    <row r="82" spans="2:13" ht="12.75">
      <c r="B82" s="86"/>
      <c r="C82" s="728" t="str">
        <f>Translations!$B$331</f>
        <v>Altri siti Internet:</v>
      </c>
      <c r="D82" s="724"/>
      <c r="E82" s="724"/>
      <c r="F82" s="724"/>
      <c r="G82" s="724"/>
      <c r="H82" s="724"/>
      <c r="I82" s="724"/>
      <c r="J82" s="724"/>
      <c r="K82" s="724"/>
      <c r="L82" s="724"/>
      <c r="M82" s="86"/>
    </row>
    <row r="83" spans="2:13" ht="12.75">
      <c r="B83" s="86"/>
      <c r="C83" s="738" t="str">
        <f>Translations!$B$332</f>
        <v>http://www.minambiente.it/pagina/emission-trading</v>
      </c>
      <c r="D83" s="738"/>
      <c r="E83" s="738"/>
      <c r="F83" s="738"/>
      <c r="G83" s="738"/>
      <c r="H83" s="738"/>
      <c r="I83" s="738"/>
      <c r="J83" s="738"/>
      <c r="K83" s="738"/>
      <c r="L83" s="738"/>
      <c r="M83" s="86"/>
    </row>
    <row r="84" spans="2:13" ht="12.75">
      <c r="B84" s="86"/>
      <c r="C84" s="738"/>
      <c r="D84" s="738"/>
      <c r="E84" s="738"/>
      <c r="F84" s="738"/>
      <c r="G84" s="738"/>
      <c r="H84" s="738"/>
      <c r="I84" s="738"/>
      <c r="J84" s="738"/>
      <c r="K84" s="738"/>
      <c r="L84" s="738"/>
      <c r="M84" s="86"/>
    </row>
    <row r="85" spans="2:13" ht="12.75">
      <c r="B85" s="86"/>
      <c r="C85" s="716" t="str">
        <f>Translations!$B$333</f>
        <v>Servizio di assistenza:</v>
      </c>
      <c r="D85" s="716"/>
      <c r="E85" s="716"/>
      <c r="F85" s="716"/>
      <c r="G85" s="716"/>
      <c r="H85" s="716"/>
      <c r="I85" s="716"/>
      <c r="J85" s="716"/>
      <c r="K85" s="716"/>
      <c r="L85" s="716"/>
      <c r="M85" s="86"/>
    </row>
    <row r="86" spans="2:13" ht="12.75">
      <c r="B86" s="86"/>
      <c r="C86" s="738" t="str">
        <f>Translations!$B$334</f>
        <v>ets@mianmbiente.it</v>
      </c>
      <c r="D86" s="738"/>
      <c r="E86" s="738"/>
      <c r="F86" s="738"/>
      <c r="G86" s="738"/>
      <c r="H86" s="738"/>
      <c r="I86" s="738"/>
      <c r="J86" s="738"/>
      <c r="K86" s="738"/>
      <c r="L86" s="738"/>
      <c r="M86" s="86"/>
    </row>
    <row r="87" spans="2:13" ht="12.75">
      <c r="B87" s="86"/>
      <c r="C87" s="738"/>
      <c r="D87" s="738"/>
      <c r="E87" s="738"/>
      <c r="F87" s="738"/>
      <c r="G87" s="738"/>
      <c r="H87" s="738"/>
      <c r="I87" s="738"/>
      <c r="J87" s="738"/>
      <c r="K87" s="738"/>
      <c r="L87" s="738"/>
      <c r="M87" s="86"/>
    </row>
    <row r="88" spans="2:13" ht="12.75">
      <c r="B88" s="86"/>
      <c r="C88" s="5"/>
      <c r="D88" s="5"/>
      <c r="E88" s="5"/>
      <c r="F88" s="5"/>
      <c r="G88" s="5"/>
      <c r="H88" s="5"/>
      <c r="I88" s="5"/>
      <c r="J88" s="5"/>
      <c r="K88" s="5"/>
      <c r="L88" s="5"/>
      <c r="M88" s="86"/>
    </row>
    <row r="89" spans="2:24" s="509" customFormat="1" ht="12.75">
      <c r="B89" s="95"/>
      <c r="C89" s="94"/>
      <c r="D89" s="94"/>
      <c r="E89" s="94"/>
      <c r="F89" s="94"/>
      <c r="G89" s="94"/>
      <c r="H89" s="94"/>
      <c r="I89" s="94"/>
      <c r="J89" s="94"/>
      <c r="K89" s="94"/>
      <c r="L89" s="94"/>
      <c r="M89" s="95"/>
      <c r="O89" s="517"/>
      <c r="P89" s="517"/>
      <c r="Q89" s="517"/>
      <c r="R89" s="517"/>
      <c r="S89" s="517"/>
      <c r="T89" s="517"/>
      <c r="U89" s="517"/>
      <c r="V89" s="517"/>
      <c r="W89" s="517"/>
      <c r="X89" s="517"/>
    </row>
    <row r="90" spans="2:13" ht="15.75">
      <c r="B90" s="86"/>
      <c r="C90" s="746" t="str">
        <f>Translations!$B$335</f>
        <v>Ulteriori linee guida fornite dallo Stato membro:</v>
      </c>
      <c r="D90" s="746"/>
      <c r="E90" s="746"/>
      <c r="F90" s="746"/>
      <c r="G90" s="746"/>
      <c r="H90" s="746"/>
      <c r="I90" s="746"/>
      <c r="J90" s="746"/>
      <c r="K90" s="746"/>
      <c r="L90" s="746"/>
      <c r="M90" s="86"/>
    </row>
    <row r="91" spans="2:13" ht="12.75">
      <c r="B91" s="86"/>
      <c r="C91" s="738" t="s">
        <v>2101</v>
      </c>
      <c r="D91" s="738"/>
      <c r="E91" s="738"/>
      <c r="F91" s="738"/>
      <c r="G91" s="738"/>
      <c r="H91" s="738"/>
      <c r="I91" s="738"/>
      <c r="J91" s="738"/>
      <c r="K91" s="738"/>
      <c r="L91" s="738"/>
      <c r="M91" s="86"/>
    </row>
    <row r="92" spans="2:13" ht="12.75">
      <c r="B92" s="86"/>
      <c r="C92" s="739" t="s">
        <v>2102</v>
      </c>
      <c r="D92" s="738"/>
      <c r="E92" s="738"/>
      <c r="F92" s="738"/>
      <c r="G92" s="738"/>
      <c r="H92" s="738"/>
      <c r="I92" s="738"/>
      <c r="J92" s="738"/>
      <c r="K92" s="738"/>
      <c r="L92" s="738"/>
      <c r="M92" s="86"/>
    </row>
    <row r="93" spans="2:13" ht="12.75">
      <c r="B93" s="86"/>
      <c r="C93" s="738"/>
      <c r="D93" s="738"/>
      <c r="E93" s="738"/>
      <c r="F93" s="738"/>
      <c r="G93" s="738"/>
      <c r="H93" s="738"/>
      <c r="I93" s="738"/>
      <c r="J93" s="738"/>
      <c r="K93" s="738"/>
      <c r="L93" s="738"/>
      <c r="M93" s="86"/>
    </row>
    <row r="94" spans="2:13" ht="12.75">
      <c r="B94" s="86"/>
      <c r="C94" s="738"/>
      <c r="D94" s="738"/>
      <c r="E94" s="738"/>
      <c r="F94" s="738"/>
      <c r="G94" s="738"/>
      <c r="H94" s="738"/>
      <c r="I94" s="738"/>
      <c r="J94" s="738"/>
      <c r="K94" s="738"/>
      <c r="L94" s="738"/>
      <c r="M94" s="86"/>
    </row>
    <row r="95" spans="2:13" ht="12.75">
      <c r="B95" s="86"/>
      <c r="C95" s="738"/>
      <c r="D95" s="738"/>
      <c r="E95" s="738"/>
      <c r="F95" s="738"/>
      <c r="G95" s="738"/>
      <c r="H95" s="738"/>
      <c r="I95" s="738"/>
      <c r="J95" s="738"/>
      <c r="K95" s="738"/>
      <c r="L95" s="738"/>
      <c r="M95" s="86"/>
    </row>
    <row r="96" spans="2:13" ht="12.75">
      <c r="B96" s="86"/>
      <c r="C96" s="738"/>
      <c r="D96" s="738"/>
      <c r="E96" s="738"/>
      <c r="F96" s="738"/>
      <c r="G96" s="738"/>
      <c r="H96" s="738"/>
      <c r="I96" s="738"/>
      <c r="J96" s="738"/>
      <c r="K96" s="738"/>
      <c r="L96" s="738"/>
      <c r="M96" s="86"/>
    </row>
    <row r="97" spans="2:13" ht="12.75">
      <c r="B97" s="86"/>
      <c r="C97" s="738"/>
      <c r="D97" s="738"/>
      <c r="E97" s="738"/>
      <c r="F97" s="738"/>
      <c r="G97" s="738"/>
      <c r="H97" s="738"/>
      <c r="I97" s="738"/>
      <c r="J97" s="738"/>
      <c r="K97" s="738"/>
      <c r="L97" s="738"/>
      <c r="M97" s="86"/>
    </row>
    <row r="98" spans="2:13" ht="12.75">
      <c r="B98" s="86"/>
      <c r="C98" s="738"/>
      <c r="D98" s="738"/>
      <c r="E98" s="738"/>
      <c r="F98" s="738"/>
      <c r="G98" s="738"/>
      <c r="H98" s="738"/>
      <c r="I98" s="738"/>
      <c r="J98" s="738"/>
      <c r="K98" s="738"/>
      <c r="L98" s="738"/>
      <c r="M98" s="86"/>
    </row>
    <row r="99" spans="2:13" ht="12.75">
      <c r="B99" s="86"/>
      <c r="C99" s="738"/>
      <c r="D99" s="738"/>
      <c r="E99" s="738"/>
      <c r="F99" s="738"/>
      <c r="G99" s="738"/>
      <c r="H99" s="738"/>
      <c r="I99" s="738"/>
      <c r="J99" s="738"/>
      <c r="K99" s="738"/>
      <c r="L99" s="738"/>
      <c r="M99" s="86"/>
    </row>
    <row r="100" spans="2:13" ht="12.75">
      <c r="B100" s="86"/>
      <c r="C100" s="738"/>
      <c r="D100" s="738"/>
      <c r="E100" s="738"/>
      <c r="F100" s="738"/>
      <c r="G100" s="738"/>
      <c r="H100" s="738"/>
      <c r="I100" s="738"/>
      <c r="J100" s="738"/>
      <c r="K100" s="738"/>
      <c r="L100" s="738"/>
      <c r="M100" s="86"/>
    </row>
    <row r="101" spans="2:13" ht="12.75">
      <c r="B101" s="86"/>
      <c r="C101" s="738"/>
      <c r="D101" s="738"/>
      <c r="E101" s="738"/>
      <c r="F101" s="738"/>
      <c r="G101" s="738"/>
      <c r="H101" s="738"/>
      <c r="I101" s="738"/>
      <c r="J101" s="738"/>
      <c r="K101" s="738"/>
      <c r="L101" s="738"/>
      <c r="M101" s="86"/>
    </row>
    <row r="102" spans="2:13" ht="12.75">
      <c r="B102" s="86"/>
      <c r="C102" s="738"/>
      <c r="D102" s="738"/>
      <c r="E102" s="738"/>
      <c r="F102" s="738"/>
      <c r="G102" s="738"/>
      <c r="H102" s="738"/>
      <c r="I102" s="738"/>
      <c r="J102" s="738"/>
      <c r="K102" s="738"/>
      <c r="L102" s="738"/>
      <c r="M102" s="86"/>
    </row>
    <row r="103" spans="2:13" ht="12.75">
      <c r="B103" s="86"/>
      <c r="C103" s="5"/>
      <c r="D103" s="5"/>
      <c r="E103" s="5"/>
      <c r="F103" s="5"/>
      <c r="G103" s="5"/>
      <c r="H103" s="5"/>
      <c r="I103" s="5"/>
      <c r="J103" s="5"/>
      <c r="K103" s="5"/>
      <c r="L103" s="5"/>
      <c r="M103" s="86"/>
    </row>
    <row r="104" spans="2:17" ht="12.75">
      <c r="B104" s="86"/>
      <c r="C104" s="709" t="str">
        <f>HYPERLINK(Q104,Translations!$B$336)</f>
        <v>&lt;&lt;&lt; Cliccare qui per passare al foglio successivo &gt;&gt;&gt; </v>
      </c>
      <c r="D104" s="710"/>
      <c r="E104" s="710"/>
      <c r="F104" s="710"/>
      <c r="G104" s="710"/>
      <c r="H104" s="710"/>
      <c r="I104" s="710"/>
      <c r="J104" s="710"/>
      <c r="K104" s="710"/>
      <c r="L104" s="710"/>
      <c r="M104" s="710"/>
      <c r="N104" s="521"/>
      <c r="O104" s="422"/>
      <c r="P104" s="422"/>
      <c r="Q104" s="450" t="str">
        <f>$U$2</f>
        <v>#A_InstallationData!$D$6</v>
      </c>
    </row>
    <row r="105" spans="2:12" ht="12.75">
      <c r="B105" s="519"/>
      <c r="C105" s="522"/>
      <c r="D105" s="522"/>
      <c r="E105" s="522"/>
      <c r="F105" s="522"/>
      <c r="G105" s="522"/>
      <c r="H105" s="522"/>
      <c r="I105" s="522"/>
      <c r="J105" s="522"/>
      <c r="K105" s="522"/>
      <c r="L105" s="522"/>
    </row>
  </sheetData>
  <sheetProtection sheet="1" objects="1" scenarios="1" formatCells="0" formatColumns="0" formatRows="0"/>
  <mergeCells count="112">
    <mergeCell ref="D22:L22"/>
    <mergeCell ref="E49:L49"/>
    <mergeCell ref="E2:F2"/>
    <mergeCell ref="E3:F3"/>
    <mergeCell ref="C6:K6"/>
    <mergeCell ref="C7:L7"/>
    <mergeCell ref="C4:D4"/>
    <mergeCell ref="C8:L8"/>
    <mergeCell ref="C34:L34"/>
    <mergeCell ref="C26:L26"/>
    <mergeCell ref="C29:L29"/>
    <mergeCell ref="C10:L10"/>
    <mergeCell ref="C12:L12"/>
    <mergeCell ref="C13:L13"/>
    <mergeCell ref="C14:L14"/>
    <mergeCell ref="C18:L18"/>
    <mergeCell ref="C19:L19"/>
    <mergeCell ref="C20:L20"/>
    <mergeCell ref="D23:L23"/>
    <mergeCell ref="D21:L21"/>
    <mergeCell ref="C36:L36"/>
    <mergeCell ref="C33:L33"/>
    <mergeCell ref="C49:D49"/>
    <mergeCell ref="C11:L11"/>
    <mergeCell ref="E40:L41"/>
    <mergeCell ref="E39:L39"/>
    <mergeCell ref="E38:L38"/>
    <mergeCell ref="C47:D47"/>
    <mergeCell ref="E46:L46"/>
    <mergeCell ref="C48:D48"/>
    <mergeCell ref="C100:L100"/>
    <mergeCell ref="C77:D77"/>
    <mergeCell ref="C98:L98"/>
    <mergeCell ref="C27:L27"/>
    <mergeCell ref="C32:L32"/>
    <mergeCell ref="C56:L56"/>
    <mergeCell ref="C31:L31"/>
    <mergeCell ref="E50:L50"/>
    <mergeCell ref="E51:L51"/>
    <mergeCell ref="C35:L35"/>
    <mergeCell ref="C44:D44"/>
    <mergeCell ref="C45:D45"/>
    <mergeCell ref="C46:D46"/>
    <mergeCell ref="C57:L57"/>
    <mergeCell ref="C58:L58"/>
    <mergeCell ref="C54:L54"/>
    <mergeCell ref="E44:L44"/>
    <mergeCell ref="E45:L45"/>
    <mergeCell ref="C3:D3"/>
    <mergeCell ref="C90:L90"/>
    <mergeCell ref="G3:H3"/>
    <mergeCell ref="E47:L47"/>
    <mergeCell ref="E48:L48"/>
    <mergeCell ref="C63:L63"/>
    <mergeCell ref="C75:L75"/>
    <mergeCell ref="C50:D50"/>
    <mergeCell ref="C51:D51"/>
    <mergeCell ref="C43:L43"/>
    <mergeCell ref="B2:B4"/>
    <mergeCell ref="I3:J3"/>
    <mergeCell ref="K3:L3"/>
    <mergeCell ref="E4:F4"/>
    <mergeCell ref="G4:H4"/>
    <mergeCell ref="I4:J4"/>
    <mergeCell ref="K4:L4"/>
    <mergeCell ref="G2:H2"/>
    <mergeCell ref="I2:J2"/>
    <mergeCell ref="K2:L2"/>
    <mergeCell ref="C102:L102"/>
    <mergeCell ref="C91:L91"/>
    <mergeCell ref="C92:L92"/>
    <mergeCell ref="C93:L93"/>
    <mergeCell ref="C94:L94"/>
    <mergeCell ref="C95:L95"/>
    <mergeCell ref="C96:L96"/>
    <mergeCell ref="C97:L97"/>
    <mergeCell ref="C99:L99"/>
    <mergeCell ref="C101:L101"/>
    <mergeCell ref="C87:L87"/>
    <mergeCell ref="C82:L82"/>
    <mergeCell ref="C85:L85"/>
    <mergeCell ref="C86:L86"/>
    <mergeCell ref="C83:L83"/>
    <mergeCell ref="C84:L84"/>
    <mergeCell ref="E80:L80"/>
    <mergeCell ref="C53:L53"/>
    <mergeCell ref="C78:D78"/>
    <mergeCell ref="E77:L77"/>
    <mergeCell ref="E78:L78"/>
    <mergeCell ref="C55:L55"/>
    <mergeCell ref="C61:L61"/>
    <mergeCell ref="C76:L76"/>
    <mergeCell ref="E65:H72"/>
    <mergeCell ref="C79:L79"/>
    <mergeCell ref="Q2:R2"/>
    <mergeCell ref="S2:T2"/>
    <mergeCell ref="U2:V2"/>
    <mergeCell ref="W2:X2"/>
    <mergeCell ref="Q3:R3"/>
    <mergeCell ref="S3:T3"/>
    <mergeCell ref="U3:V3"/>
    <mergeCell ref="W3:X3"/>
    <mergeCell ref="D24:L24"/>
    <mergeCell ref="C104:M104"/>
    <mergeCell ref="Q4:R4"/>
    <mergeCell ref="S4:T4"/>
    <mergeCell ref="U4:V4"/>
    <mergeCell ref="W4:X4"/>
    <mergeCell ref="D16:L16"/>
    <mergeCell ref="D17:L17"/>
    <mergeCell ref="C15:L15"/>
    <mergeCell ref="C80:D80"/>
  </mergeCells>
  <hyperlinks>
    <hyperlink ref="E77" r:id="rId1" display="http://eur-lex.europa.eu/en/index.htm "/>
    <hyperlink ref="E78" r:id="rId2" display="http://ec.europa.eu/clima/policies/ets/index_en.htm"/>
    <hyperlink ref="C13:L13" r:id="rId3" display="http://ec.europa.eu/clima/documentation/ets/docs/decision_benchmarking_15_dec_en.pdf. "/>
    <hyperlink ref="C11:L11" r:id="rId4" display="http://ec.europa.eu/clima/documentation/ets/docs/decision_benchmarking_15_dec_en.pdf. "/>
    <hyperlink ref="C11" r:id="rId5" display="http://eur-lex.europa.eu/LexUriServ/LexUriServ.do?uri=CONSLEG:2003L0087:20090625:EN:PDF"/>
    <hyperlink ref="C13" r:id="rId6" display="http://eur-lex.europa.eu/LexUriServ/LexUriServ.do?uri=CONSLEG:2011D0278:20111117:EN:PDF "/>
    <hyperlink ref="E80" r:id="rId7" display="http://ec.europa.eu/clima/policies/ets/benchmarking/documentation_en.htm"/>
    <hyperlink ref="E80:L80" r:id="rId8" display="http://ec.europa.eu/clima/policies/ets/benchmarking/documentation_en.htm"/>
    <hyperlink ref="E2:F2" location="JUMP_Coverpage_Top" display="JUMP_Coverpage_Top"/>
    <hyperlink ref="C92" r:id="rId9" display="http://www.minambiente.it/pagina/cessazione-di-attivita-cessazione-parziale-di-attivita-interruzione-di-attivita-e-riavvio"/>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0"/>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Z306"/>
  <sheetViews>
    <sheetView zoomScalePageLayoutView="0" workbookViewId="0" topLeftCell="B1">
      <pane ySplit="4" topLeftCell="A5" activePane="bottomLeft" state="frozen"/>
      <selection pane="topLeft" activeCell="F43" sqref="F43"/>
      <selection pane="bottomLeft" activeCell="C199" sqref="C199"/>
    </sheetView>
  </sheetViews>
  <sheetFormatPr defaultColWidth="9.140625" defaultRowHeight="12.75"/>
  <cols>
    <col min="1" max="1" width="5.140625" style="4" hidden="1" customWidth="1"/>
    <col min="2" max="2" width="2.7109375" style="521" customWidth="1"/>
    <col min="3" max="4" width="4.7109375" style="521" customWidth="1"/>
    <col min="5" max="14" width="12.7109375" style="521" customWidth="1"/>
    <col min="15" max="15" width="4.7109375" style="521" customWidth="1"/>
    <col min="16" max="16" width="59.7109375" style="521" hidden="1" customWidth="1"/>
    <col min="17" max="17" width="12.7109375" style="333" hidden="1" customWidth="1"/>
    <col min="18" max="26" width="11.421875" style="333" hidden="1" customWidth="1"/>
    <col min="27" max="16384" width="9.140625" style="521" customWidth="1"/>
  </cols>
  <sheetData>
    <row r="1" spans="1:26" s="4" customFormat="1" ht="13.5" hidden="1" thickBot="1">
      <c r="A1" s="4" t="s">
        <v>484</v>
      </c>
      <c r="P1" s="318" t="s">
        <v>484</v>
      </c>
      <c r="Q1" s="333" t="s">
        <v>484</v>
      </c>
      <c r="R1" s="333" t="s">
        <v>484</v>
      </c>
      <c r="S1" s="333" t="s">
        <v>484</v>
      </c>
      <c r="T1" s="333" t="s">
        <v>484</v>
      </c>
      <c r="U1" s="333" t="s">
        <v>484</v>
      </c>
      <c r="V1" s="333" t="s">
        <v>484</v>
      </c>
      <c r="W1" s="333" t="s">
        <v>484</v>
      </c>
      <c r="X1" s="333" t="s">
        <v>484</v>
      </c>
      <c r="Y1" s="333" t="s">
        <v>484</v>
      </c>
      <c r="Z1" s="333" t="s">
        <v>484</v>
      </c>
    </row>
    <row r="2" spans="2:26" ht="13.5" customHeight="1" thickBot="1">
      <c r="B2" s="823" t="str">
        <f>Translations!$B$337</f>
        <v>A.
Dati dell'impianto</v>
      </c>
      <c r="C2" s="824"/>
      <c r="D2" s="825"/>
      <c r="E2" s="201" t="str">
        <f>Translations!$B$276</f>
        <v>Area di navigazione:</v>
      </c>
      <c r="F2" s="199"/>
      <c r="G2" s="779" t="str">
        <f>Translations!$B$290</f>
        <v>Indice</v>
      </c>
      <c r="H2" s="683"/>
      <c r="I2" s="683" t="str">
        <f>HYPERLINK(U2,Translations!$B$291)</f>
        <v>Foglio precedente</v>
      </c>
      <c r="J2" s="683"/>
      <c r="K2" s="683" t="str">
        <f>HYPERLINK(W2,Translations!$B$277)</f>
        <v>Foglio successivo</v>
      </c>
      <c r="L2" s="683"/>
      <c r="M2" s="683" t="str">
        <f>HYPERLINK(Y2,Translations!$B$278)</f>
        <v>Sintesi </v>
      </c>
      <c r="N2" s="684"/>
      <c r="O2" s="9"/>
      <c r="P2" s="9"/>
      <c r="Q2" s="440" t="s">
        <v>552</v>
      </c>
      <c r="R2" s="440"/>
      <c r="S2" s="677"/>
      <c r="T2" s="678"/>
      <c r="U2" s="679" t="str">
        <f>"#"&amp;ADDRESS(ROW(C6),COLUMN(C6),,,'b_Guidelines &amp; conditions'!O3)</f>
        <v>#'b_Guidelines &amp; conditions'!$C$6</v>
      </c>
      <c r="V2" s="678"/>
      <c r="W2" s="679" t="str">
        <f>"#"&amp;ADDRESS(ROW(C6),COLUMN(C6),,,B_InitialSituation!Q3)</f>
        <v>#B_InitialSituation!$C$6</v>
      </c>
      <c r="X2" s="678"/>
      <c r="Y2" s="679" t="str">
        <f>"#"&amp;ADDRESS(ROW(C6),COLUMN(C6),,,D_Summary!Q3)</f>
        <v>#D_Summary!$C$6</v>
      </c>
      <c r="Z2" s="680"/>
    </row>
    <row r="3" spans="2:26" ht="13.5" thickBot="1">
      <c r="B3" s="826"/>
      <c r="C3" s="827"/>
      <c r="D3" s="828"/>
      <c r="E3" s="683" t="str">
        <f>HYPERLINK(R3,Translations!$B$279)</f>
        <v>Inizio foglio</v>
      </c>
      <c r="F3" s="745"/>
      <c r="G3" s="780" t="str">
        <f>HYPERLINK(S3,Translations!$B$342)</f>
        <v>Ammissibilità</v>
      </c>
      <c r="H3" s="741"/>
      <c r="I3" s="740" t="str">
        <f>HYPERLINK(U3,Translations!$B$338)</f>
        <v>Identificativo dell'impianto</v>
      </c>
      <c r="J3" s="741"/>
      <c r="K3" s="740" t="str">
        <f>HYPERLINK(W3,Translations!$B$343)</f>
        <v>Connessioni tecniche</v>
      </c>
      <c r="L3" s="741"/>
      <c r="M3" s="740" t="str">
        <f>HYPERLINK(Y3,Translations!$B$1502)</f>
        <v>Impianti interessati</v>
      </c>
      <c r="N3" s="741"/>
      <c r="O3" s="9"/>
      <c r="P3" s="9"/>
      <c r="Q3" s="498" t="str">
        <f ca="1">IF(ISERROR(CELL("filename",Q1)),"A_InstallationData",MID(CELL("filename",Q1),FIND("]",CELL("filename",Q1))+1,1024))</f>
        <v>A_InstallationData</v>
      </c>
      <c r="R3" s="499" t="str">
        <f>"#"&amp;ADDRESS(ROW(C6),COLUMN(C6))</f>
        <v>#$C$6</v>
      </c>
      <c r="S3" s="717" t="str">
        <f>"#"&amp;ADDRESS(ROW(C8),COLUMN(C8))</f>
        <v>#$C$8</v>
      </c>
      <c r="T3" s="718"/>
      <c r="U3" s="719" t="str">
        <f>"#"&amp;ADDRESS(ROW(C42),COLUMN(C42))</f>
        <v>#$C$42</v>
      </c>
      <c r="V3" s="718"/>
      <c r="W3" s="719" t="str">
        <f>"#"&amp;ADDRESS(ROW(JUMP_A_VI),COLUMN(JUMP_A_VI))</f>
        <v>#$C$147</v>
      </c>
      <c r="X3" s="718"/>
      <c r="Y3" s="719" t="str">
        <f>"#"&amp;ADDRESS(ROW(C199),COLUMN(C199))</f>
        <v>#$C$199</v>
      </c>
      <c r="Z3" s="720"/>
    </row>
    <row r="4" spans="2:26" ht="13.5" customHeight="1" thickBot="1">
      <c r="B4" s="829"/>
      <c r="C4" s="830"/>
      <c r="D4" s="831"/>
      <c r="E4" s="683" t="str">
        <f>HYPERLINK(R4,Translations!$B$280)</f>
        <v>Fine foglio</v>
      </c>
      <c r="F4" s="683"/>
      <c r="G4" s="742"/>
      <c r="H4" s="743"/>
      <c r="I4" s="744"/>
      <c r="J4" s="743"/>
      <c r="K4" s="744"/>
      <c r="L4" s="743"/>
      <c r="M4" s="744"/>
      <c r="N4" s="743"/>
      <c r="O4" s="9"/>
      <c r="P4" s="9"/>
      <c r="Q4" s="440"/>
      <c r="R4" s="500" t="str">
        <f>"#"&amp;ADDRESS(ROW(JUMP_A_Bottom),COLUMN(JUMP_A_Bottom))</f>
        <v>#$D$274</v>
      </c>
      <c r="S4" s="711"/>
      <c r="T4" s="712"/>
      <c r="U4" s="713"/>
      <c r="V4" s="712"/>
      <c r="W4" s="713"/>
      <c r="X4" s="712"/>
      <c r="Y4" s="713"/>
      <c r="Z4" s="714"/>
    </row>
    <row r="5" spans="2:17" ht="12.75">
      <c r="B5" s="5"/>
      <c r="C5" s="6"/>
      <c r="D5" s="7"/>
      <c r="E5" s="7"/>
      <c r="F5" s="8"/>
      <c r="G5" s="8"/>
      <c r="H5" s="8"/>
      <c r="I5" s="5"/>
      <c r="J5" s="5"/>
      <c r="K5" s="5"/>
      <c r="L5" s="5"/>
      <c r="M5" s="9"/>
      <c r="N5" s="9"/>
      <c r="O5" s="9"/>
      <c r="P5" s="9"/>
      <c r="Q5" s="339"/>
    </row>
    <row r="6" spans="2:26" ht="23.25" customHeight="1">
      <c r="B6" s="5"/>
      <c r="C6" s="11" t="s">
        <v>347</v>
      </c>
      <c r="D6" s="781" t="str">
        <f>Translations!$B$1031</f>
        <v>Foglio "InstallationData" — INFORMAZIONI GENERALI SULLA PRESENTE RICHIESTA</v>
      </c>
      <c r="E6" s="724"/>
      <c r="F6" s="724"/>
      <c r="G6" s="724"/>
      <c r="H6" s="724"/>
      <c r="I6" s="724"/>
      <c r="J6" s="724"/>
      <c r="K6" s="724"/>
      <c r="L6" s="724"/>
      <c r="M6" s="724"/>
      <c r="N6" s="724"/>
      <c r="O6" s="9"/>
      <c r="P6" s="9"/>
      <c r="Q6" s="340" t="s">
        <v>332</v>
      </c>
      <c r="R6" s="340" t="s">
        <v>332</v>
      </c>
      <c r="S6" s="340" t="s">
        <v>332</v>
      </c>
      <c r="T6" s="340" t="s">
        <v>332</v>
      </c>
      <c r="U6" s="340" t="s">
        <v>332</v>
      </c>
      <c r="V6" s="340" t="s">
        <v>332</v>
      </c>
      <c r="W6" s="340" t="s">
        <v>332</v>
      </c>
      <c r="X6" s="340" t="s">
        <v>332</v>
      </c>
      <c r="Y6" s="340" t="s">
        <v>332</v>
      </c>
      <c r="Z6" s="340" t="s">
        <v>332</v>
      </c>
    </row>
    <row r="7" spans="2:26" ht="12.75">
      <c r="B7" s="5"/>
      <c r="C7" s="5"/>
      <c r="D7" s="5"/>
      <c r="E7" s="5"/>
      <c r="F7" s="5"/>
      <c r="G7" s="5"/>
      <c r="H7" s="5"/>
      <c r="I7" s="5"/>
      <c r="J7" s="5"/>
      <c r="K7" s="5"/>
      <c r="L7" s="5"/>
      <c r="M7" s="9"/>
      <c r="N7" s="9"/>
      <c r="O7" s="9"/>
      <c r="P7" s="9"/>
      <c r="Q7" s="341" t="s">
        <v>172</v>
      </c>
      <c r="R7" s="341" t="s">
        <v>172</v>
      </c>
      <c r="S7" s="341" t="s">
        <v>172</v>
      </c>
      <c r="T7" s="341" t="s">
        <v>172</v>
      </c>
      <c r="U7" s="341" t="s">
        <v>172</v>
      </c>
      <c r="V7" s="341" t="s">
        <v>172</v>
      </c>
      <c r="W7" s="341" t="s">
        <v>172</v>
      </c>
      <c r="X7" s="341" t="s">
        <v>172</v>
      </c>
      <c r="Y7" s="341" t="s">
        <v>172</v>
      </c>
      <c r="Z7" s="341" t="s">
        <v>172</v>
      </c>
    </row>
    <row r="8" spans="1:26" s="523" customFormat="1" ht="18" customHeight="1">
      <c r="A8" s="370"/>
      <c r="B8" s="208"/>
      <c r="C8" s="315" t="s">
        <v>41</v>
      </c>
      <c r="D8" s="331" t="str">
        <f>Translations!$B$1503</f>
        <v>Conferma dell’ammissibilità</v>
      </c>
      <c r="E8" s="331"/>
      <c r="F8" s="331"/>
      <c r="G8" s="331"/>
      <c r="H8" s="331"/>
      <c r="I8" s="331"/>
      <c r="J8" s="331"/>
      <c r="K8" s="331"/>
      <c r="L8" s="331"/>
      <c r="M8" s="331"/>
      <c r="N8" s="331"/>
      <c r="O8" s="209"/>
      <c r="P8" s="209"/>
      <c r="Q8" s="362"/>
      <c r="R8" s="362"/>
      <c r="S8" s="362"/>
      <c r="T8" s="362"/>
      <c r="U8" s="362"/>
      <c r="V8" s="362"/>
      <c r="W8" s="362"/>
      <c r="X8" s="362"/>
      <c r="Y8" s="362"/>
      <c r="Z8" s="362"/>
    </row>
    <row r="9" spans="2:17" ht="4.5" customHeight="1" thickBot="1">
      <c r="B9" s="5"/>
      <c r="C9" s="5"/>
      <c r="D9" s="5"/>
      <c r="E9" s="5"/>
      <c r="F9" s="5"/>
      <c r="G9" s="5"/>
      <c r="H9" s="5"/>
      <c r="I9" s="5"/>
      <c r="J9" s="5"/>
      <c r="K9" s="5"/>
      <c r="L9" s="5"/>
      <c r="M9" s="9"/>
      <c r="N9" s="9"/>
      <c r="O9" s="9"/>
      <c r="P9" s="9"/>
      <c r="Q9" s="339"/>
    </row>
    <row r="10" spans="2:26" ht="12.75" customHeight="1">
      <c r="B10" s="16"/>
      <c r="C10" s="80"/>
      <c r="D10" s="79"/>
      <c r="E10" s="79"/>
      <c r="F10" s="79"/>
      <c r="G10" s="79"/>
      <c r="H10" s="79"/>
      <c r="I10" s="79"/>
      <c r="J10" s="79"/>
      <c r="K10" s="79"/>
      <c r="L10" s="79"/>
      <c r="M10" s="78"/>
      <c r="N10" s="78"/>
      <c r="O10" s="77"/>
      <c r="P10" s="18"/>
      <c r="Q10" s="440"/>
      <c r="R10" s="422"/>
      <c r="S10" s="422"/>
      <c r="T10" s="422"/>
      <c r="U10" s="422"/>
      <c r="V10" s="422"/>
      <c r="W10" s="422"/>
      <c r="X10" s="422"/>
      <c r="Y10" s="422"/>
      <c r="Z10" s="422"/>
    </row>
    <row r="11" spans="2:26" ht="12.75" customHeight="1">
      <c r="B11" s="16"/>
      <c r="C11" s="76"/>
      <c r="D11" s="193" t="s">
        <v>462</v>
      </c>
      <c r="E11" s="706" t="str">
        <f>Translations!$B$1518</f>
        <v>Domanda di fusione, scissione o trasferimento di parti di impianti?</v>
      </c>
      <c r="F11" s="786"/>
      <c r="G11" s="786"/>
      <c r="H11" s="786"/>
      <c r="I11" s="786"/>
      <c r="J11" s="786"/>
      <c r="K11" s="786"/>
      <c r="L11" s="786"/>
      <c r="M11" s="786"/>
      <c r="N11" s="786"/>
      <c r="O11" s="75"/>
      <c r="P11" s="215"/>
      <c r="S11" s="422"/>
      <c r="T11" s="422"/>
      <c r="U11" s="422"/>
      <c r="V11" s="422"/>
      <c r="W11" s="422"/>
      <c r="X11" s="422"/>
      <c r="Y11" s="422"/>
      <c r="Z11" s="422"/>
    </row>
    <row r="12" spans="2:26" ht="24.75" customHeight="1">
      <c r="B12" s="16"/>
      <c r="C12" s="76"/>
      <c r="D12" s="202"/>
      <c r="E12" s="785" t="str">
        <f>Translations!$B$1519</f>
        <v>Si prega di confermare che la modifica descritta nella presente domanda è dovuta unicamente a una fusione, una scissione o un trasferimento di parti di impianti. Così facendo si conferma anche che non sono avvenuti cambiamenti fisici e che la presente domanda descrive esclusivamente modifiche concernenti i limiti dell’impianto e le autorizzazioni esistenti.</v>
      </c>
      <c r="F12" s="786"/>
      <c r="G12" s="786"/>
      <c r="H12" s="786"/>
      <c r="I12" s="786"/>
      <c r="J12" s="786"/>
      <c r="K12" s="786"/>
      <c r="L12" s="786"/>
      <c r="M12" s="786"/>
      <c r="N12" s="786"/>
      <c r="O12" s="75"/>
      <c r="P12" s="18"/>
      <c r="Q12" s="422"/>
      <c r="R12" s="422"/>
      <c r="S12" s="422"/>
      <c r="T12" s="422"/>
      <c r="U12" s="422"/>
      <c r="V12" s="422"/>
      <c r="W12" s="422"/>
      <c r="X12" s="422"/>
      <c r="Y12" s="422"/>
      <c r="Z12" s="422"/>
    </row>
    <row r="13" spans="2:26" ht="25.5" customHeight="1">
      <c r="B13" s="16"/>
      <c r="C13" s="76"/>
      <c r="D13" s="202"/>
      <c r="E13" s="910"/>
      <c r="F13" s="911"/>
      <c r="G13" s="911"/>
      <c r="H13" s="911"/>
      <c r="I13" s="911"/>
      <c r="J13" s="911"/>
      <c r="K13" s="911"/>
      <c r="L13" s="911"/>
      <c r="M13" s="911"/>
      <c r="N13" s="912"/>
      <c r="O13" s="410"/>
      <c r="P13" s="18"/>
      <c r="Q13" s="546" t="b">
        <f>E13&lt;&gt;""</f>
        <v>0</v>
      </c>
      <c r="R13" s="547" t="s">
        <v>544</v>
      </c>
      <c r="S13" s="422"/>
      <c r="T13" s="422"/>
      <c r="U13" s="422"/>
      <c r="V13" s="422"/>
      <c r="W13" s="422"/>
      <c r="X13" s="422"/>
      <c r="Y13" s="422"/>
      <c r="Z13" s="422"/>
    </row>
    <row r="14" spans="2:26" ht="12.75" customHeight="1">
      <c r="B14" s="16"/>
      <c r="C14" s="76"/>
      <c r="D14" s="193"/>
      <c r="E14" s="583"/>
      <c r="F14" s="407"/>
      <c r="G14" s="407"/>
      <c r="H14" s="407"/>
      <c r="I14" s="407"/>
      <c r="J14" s="407"/>
      <c r="K14" s="407"/>
      <c r="L14" s="407"/>
      <c r="M14" s="407"/>
      <c r="N14" s="407"/>
      <c r="O14" s="408"/>
      <c r="P14" s="18"/>
      <c r="Q14" s="422"/>
      <c r="R14" s="422"/>
      <c r="S14" s="422"/>
      <c r="T14" s="422"/>
      <c r="U14" s="422"/>
      <c r="V14" s="422"/>
      <c r="W14" s="422"/>
      <c r="X14" s="422"/>
      <c r="Y14" s="422"/>
      <c r="Z14" s="422"/>
    </row>
    <row r="15" spans="2:19" ht="12.75" customHeight="1">
      <c r="B15" s="5"/>
      <c r="C15" s="74"/>
      <c r="D15" s="193" t="s">
        <v>249</v>
      </c>
      <c r="E15" s="814" t="str">
        <f>Translations!$B$1588</f>
        <v>Situazione relativa alla domanda in questione:</v>
      </c>
      <c r="F15" s="814"/>
      <c r="G15" s="814"/>
      <c r="H15" s="814"/>
      <c r="I15" s="814"/>
      <c r="J15" s="814"/>
      <c r="K15" s="815"/>
      <c r="L15" s="816"/>
      <c r="M15" s="816"/>
      <c r="N15" s="816"/>
      <c r="O15" s="73"/>
      <c r="P15" s="18"/>
      <c r="Q15" s="339"/>
      <c r="R15" s="342">
        <f>IF(L15="","",MATCH(L15,EUconst_MergerSplitOrTransfer,0))</f>
      </c>
      <c r="S15" s="547" t="s">
        <v>570</v>
      </c>
    </row>
    <row r="16" spans="2:17" ht="4.5" customHeight="1">
      <c r="B16" s="5"/>
      <c r="C16" s="74"/>
      <c r="D16" s="7"/>
      <c r="E16" s="7"/>
      <c r="F16" s="7"/>
      <c r="G16" s="7"/>
      <c r="H16" s="7"/>
      <c r="I16" s="7"/>
      <c r="J16" s="7"/>
      <c r="K16" s="7"/>
      <c r="L16" s="7"/>
      <c r="M16" s="23"/>
      <c r="N16" s="23"/>
      <c r="O16" s="73"/>
      <c r="P16" s="18"/>
      <c r="Q16" s="339"/>
    </row>
    <row r="17" spans="2:26" ht="12.75" customHeight="1" thickBot="1">
      <c r="B17" s="16"/>
      <c r="C17" s="76"/>
      <c r="D17" s="193"/>
      <c r="E17" s="583"/>
      <c r="F17" s="407"/>
      <c r="G17" s="407"/>
      <c r="H17" s="407"/>
      <c r="I17" s="407"/>
      <c r="J17" s="407"/>
      <c r="K17" s="407"/>
      <c r="L17" s="538" t="str">
        <f>Translations!$B$1572</f>
        <v>Giorno</v>
      </c>
      <c r="M17" s="538" t="str">
        <f>Translations!$B$1573</f>
        <v>Mese</v>
      </c>
      <c r="N17" s="538" t="str">
        <f>Translations!$B$1574</f>
        <v>Anno</v>
      </c>
      <c r="O17" s="408"/>
      <c r="P17" s="18"/>
      <c r="Q17" s="422"/>
      <c r="R17" s="422"/>
      <c r="S17" s="422"/>
      <c r="T17" s="422"/>
      <c r="U17" s="422"/>
      <c r="V17" s="422"/>
      <c r="W17" s="422"/>
      <c r="X17" s="422"/>
      <c r="Y17" s="422"/>
      <c r="Z17" s="422"/>
    </row>
    <row r="18" spans="2:26" ht="12.75" customHeight="1" thickBot="1">
      <c r="B18" s="16"/>
      <c r="C18" s="76"/>
      <c r="D18" s="193" t="s">
        <v>458</v>
      </c>
      <c r="E18" s="814" t="str">
        <f>Translations!$B$1520</f>
        <v>Data ufficiale della fusione, della scissione o del trasferimento di parti dell’impianto</v>
      </c>
      <c r="F18" s="814"/>
      <c r="G18" s="814"/>
      <c r="H18" s="814"/>
      <c r="I18" s="814"/>
      <c r="J18" s="814"/>
      <c r="K18" s="815"/>
      <c r="L18" s="537"/>
      <c r="M18" s="537"/>
      <c r="N18" s="537"/>
      <c r="O18" s="408"/>
      <c r="P18" s="18"/>
      <c r="Q18" s="539">
        <f>IF(X38,DATE(N18,IF(ISBLANK(M18),1,M18),IF(ISBLANK(L18),1,L18)),"")</f>
      </c>
      <c r="R18" s="442">
        <f>IF(N25="",2010,N25-1+IF(N26=TRUE,1,0))</f>
        <v>2010</v>
      </c>
      <c r="S18" s="439" t="s">
        <v>549</v>
      </c>
      <c r="T18" s="422"/>
      <c r="U18" s="422"/>
      <c r="V18" s="422"/>
      <c r="W18" s="422"/>
      <c r="X18" s="422"/>
      <c r="Y18" s="422"/>
      <c r="Z18" s="443" t="b">
        <f>CNTR_Merger&lt;&gt;TRUE</f>
        <v>1</v>
      </c>
    </row>
    <row r="19" spans="2:26" ht="4.5" customHeight="1">
      <c r="B19" s="16"/>
      <c r="C19" s="76"/>
      <c r="D19" s="406"/>
      <c r="E19" s="584"/>
      <c r="F19" s="407"/>
      <c r="G19" s="407"/>
      <c r="H19" s="407"/>
      <c r="I19" s="407"/>
      <c r="J19" s="407"/>
      <c r="K19" s="407"/>
      <c r="L19" s="407"/>
      <c r="M19" s="407"/>
      <c r="N19" s="407"/>
      <c r="O19" s="408"/>
      <c r="P19" s="18"/>
      <c r="Q19" s="422"/>
      <c r="R19" s="422"/>
      <c r="S19" s="422"/>
      <c r="T19" s="422"/>
      <c r="U19" s="422"/>
      <c r="V19" s="422"/>
      <c r="W19" s="422"/>
      <c r="X19" s="422"/>
      <c r="Y19" s="422"/>
      <c r="Z19" s="422"/>
    </row>
    <row r="20" spans="2:26" ht="12.75" customHeight="1">
      <c r="B20" s="16"/>
      <c r="C20" s="76"/>
      <c r="D20" s="193" t="s">
        <v>130</v>
      </c>
      <c r="E20" s="706" t="str">
        <f>Translations!$B$1576</f>
        <v>Anno a partire dal quale l'assegnazione cambia</v>
      </c>
      <c r="F20" s="786"/>
      <c r="G20" s="786"/>
      <c r="H20" s="786"/>
      <c r="I20" s="786"/>
      <c r="J20" s="786"/>
      <c r="K20" s="786"/>
      <c r="L20" s="786"/>
      <c r="M20" s="786"/>
      <c r="N20" s="786"/>
      <c r="O20" s="408"/>
      <c r="P20" s="18"/>
      <c r="Q20" s="422"/>
      <c r="R20" s="422"/>
      <c r="S20" s="422"/>
      <c r="T20" s="422"/>
      <c r="U20" s="422"/>
      <c r="V20" s="422"/>
      <c r="W20" s="422"/>
      <c r="X20" s="422"/>
      <c r="Y20" s="422"/>
      <c r="Z20" s="422"/>
    </row>
    <row r="21" spans="2:26" ht="12.75" customHeight="1">
      <c r="B21" s="16"/>
      <c r="C21" s="76"/>
      <c r="D21" s="406"/>
      <c r="E21" s="785" t="str">
        <f>Translations!$B$1577</f>
        <v>In linea di principio, l’assegnazione sarà modificata a partire dall’anno successivo alla fusione, alla scissione o al trasferimento di parti dell’impianto. </v>
      </c>
      <c r="F21" s="786"/>
      <c r="G21" s="786"/>
      <c r="H21" s="786"/>
      <c r="I21" s="786"/>
      <c r="J21" s="786"/>
      <c r="K21" s="786"/>
      <c r="L21" s="786"/>
      <c r="M21" s="786"/>
      <c r="N21" s="786"/>
      <c r="O21" s="408"/>
      <c r="P21" s="18"/>
      <c r="Q21" s="422"/>
      <c r="R21" s="422"/>
      <c r="S21" s="422"/>
      <c r="T21" s="422"/>
      <c r="U21" s="422"/>
      <c r="V21" s="422"/>
      <c r="W21" s="422"/>
      <c r="X21" s="422"/>
      <c r="Y21" s="422"/>
      <c r="Z21" s="422"/>
    </row>
    <row r="22" spans="2:26" ht="26.25" customHeight="1">
      <c r="B22" s="16"/>
      <c r="C22" s="76"/>
      <c r="D22" s="406"/>
      <c r="E22" s="785" t="str">
        <f>Translations!$B$1578</f>
        <v>Tuttavia, se sono già state rilasciate quote per tale anno, l’assegnazione cambierà soltanto dal secondo anno successivo alla fusione, alla scissione o al trasferimento di parti dell’impianto.</v>
      </c>
      <c r="F22" s="786"/>
      <c r="G22" s="786"/>
      <c r="H22" s="786"/>
      <c r="I22" s="786"/>
      <c r="J22" s="786"/>
      <c r="K22" s="786"/>
      <c r="L22" s="786"/>
      <c r="M22" s="786"/>
      <c r="N22" s="786"/>
      <c r="O22" s="408"/>
      <c r="P22" s="18"/>
      <c r="Q22" s="422"/>
      <c r="R22" s="422"/>
      <c r="S22" s="422"/>
      <c r="T22" s="422"/>
      <c r="U22" s="422"/>
      <c r="V22" s="422"/>
      <c r="W22" s="422"/>
      <c r="X22" s="422"/>
      <c r="Y22" s="422"/>
      <c r="Z22" s="422"/>
    </row>
    <row r="23" spans="2:26" ht="25.5" customHeight="1">
      <c r="B23" s="16"/>
      <c r="C23" s="76"/>
      <c r="D23" s="406"/>
      <c r="E23" s="785" t="str">
        <f>Translations!$B$1579</f>
        <v>Esempio: Una scissione avviene nel novembre 2014 ed è comunicata a gennaio 2015. L’assegnazione cambierà a partire dal 2015. Se la scissione è comunicata solo dopo che le quote sono già state rilasciate per il 2015 (ossia dopo il 28 febbraio 2015), l’assegnazione cambierà a partire dal 2016.</v>
      </c>
      <c r="F23" s="786"/>
      <c r="G23" s="786"/>
      <c r="H23" s="786"/>
      <c r="I23" s="786"/>
      <c r="J23" s="786"/>
      <c r="K23" s="786"/>
      <c r="L23" s="786"/>
      <c r="M23" s="786"/>
      <c r="N23" s="786"/>
      <c r="O23" s="408"/>
      <c r="P23" s="18"/>
      <c r="Q23" s="422"/>
      <c r="R23" s="422"/>
      <c r="S23" s="422"/>
      <c r="T23" s="422"/>
      <c r="U23" s="422"/>
      <c r="V23" s="422"/>
      <c r="W23" s="422"/>
      <c r="X23" s="422"/>
      <c r="Y23" s="422"/>
      <c r="Z23" s="422"/>
    </row>
    <row r="24" spans="2:26" ht="4.5" customHeight="1">
      <c r="B24" s="16"/>
      <c r="C24" s="76"/>
      <c r="D24" s="406"/>
      <c r="E24" s="916"/>
      <c r="F24" s="916"/>
      <c r="G24" s="916"/>
      <c r="H24" s="916"/>
      <c r="I24" s="916"/>
      <c r="J24" s="916"/>
      <c r="K24" s="916"/>
      <c r="L24" s="916"/>
      <c r="M24" s="916"/>
      <c r="N24" s="407"/>
      <c r="O24" s="408"/>
      <c r="P24" s="18"/>
      <c r="Q24" s="422"/>
      <c r="R24" s="422"/>
      <c r="S24" s="422"/>
      <c r="T24" s="422"/>
      <c r="U24" s="422"/>
      <c r="V24" s="422"/>
      <c r="W24" s="422"/>
      <c r="X24" s="422"/>
      <c r="Y24" s="422"/>
      <c r="Z24" s="422"/>
    </row>
    <row r="25" spans="2:26" ht="12.75" customHeight="1">
      <c r="B25" s="16"/>
      <c r="C25" s="76"/>
      <c r="D25" s="406"/>
      <c r="E25" s="545" t="s">
        <v>427</v>
      </c>
      <c r="F25" s="923" t="str">
        <f>Translations!$B$1580</f>
        <v>Anno più remoto a partire del quale l'assegnazione sarà modificata in base ai dati di cui alla lettera b)</v>
      </c>
      <c r="G25" s="924"/>
      <c r="H25" s="924"/>
      <c r="I25" s="924"/>
      <c r="J25" s="924"/>
      <c r="K25" s="924"/>
      <c r="L25" s="924"/>
      <c r="M25" s="925"/>
      <c r="N25" s="540">
        <f>IF(N18="","",N18+1)</f>
      </c>
      <c r="O25" s="408"/>
      <c r="P25" s="18"/>
      <c r="Q25" s="422"/>
      <c r="R25" s="422"/>
      <c r="S25" s="422"/>
      <c r="T25" s="422"/>
      <c r="U25" s="422"/>
      <c r="V25" s="422"/>
      <c r="W25" s="422"/>
      <c r="X25" s="422"/>
      <c r="Y25" s="422"/>
      <c r="Z25" s="422"/>
    </row>
    <row r="26" spans="2:26" ht="12.75" customHeight="1">
      <c r="B26" s="16"/>
      <c r="C26" s="76"/>
      <c r="D26" s="406"/>
      <c r="E26" s="545" t="s">
        <v>428</v>
      </c>
      <c r="F26" s="917" t="str">
        <f>Translations!$B$1581</f>
        <v>Quote già iscritte  sul conto nell’anno di cui al punto i</v>
      </c>
      <c r="G26" s="918"/>
      <c r="H26" s="918"/>
      <c r="I26" s="918"/>
      <c r="J26" s="918"/>
      <c r="K26" s="918"/>
      <c r="L26" s="918"/>
      <c r="M26" s="919"/>
      <c r="N26" s="537"/>
      <c r="O26" s="408"/>
      <c r="P26" s="18"/>
      <c r="Q26" s="422"/>
      <c r="R26" s="422"/>
      <c r="S26" s="422"/>
      <c r="T26" s="422"/>
      <c r="U26" s="422"/>
      <c r="V26" s="422"/>
      <c r="W26" s="422"/>
      <c r="X26" s="422"/>
      <c r="Y26" s="422"/>
      <c r="Z26" s="422"/>
    </row>
    <row r="27" spans="2:26" ht="12.75" customHeight="1">
      <c r="B27" s="16"/>
      <c r="C27" s="76"/>
      <c r="D27" s="406"/>
      <c r="E27" s="545" t="s">
        <v>429</v>
      </c>
      <c r="F27" s="920" t="str">
        <f>Translations!$B$1582</f>
        <v>Risultato finale: Anno a partire dal quale l'assegnazione cambia</v>
      </c>
      <c r="G27" s="921"/>
      <c r="H27" s="921"/>
      <c r="I27" s="921"/>
      <c r="J27" s="921"/>
      <c r="K27" s="921"/>
      <c r="L27" s="921"/>
      <c r="M27" s="922"/>
      <c r="N27" s="540">
        <f>IF(N25="","",N25+IF(N26=TRUE,1,0))</f>
      </c>
      <c r="O27" s="408"/>
      <c r="P27" s="18"/>
      <c r="Q27" s="422"/>
      <c r="R27" s="422"/>
      <c r="S27" s="422"/>
      <c r="T27" s="422"/>
      <c r="U27" s="422"/>
      <c r="V27" s="422"/>
      <c r="W27" s="422"/>
      <c r="X27" s="422"/>
      <c r="Y27" s="422"/>
      <c r="Z27" s="422"/>
    </row>
    <row r="28" spans="2:26" ht="4.5" customHeight="1">
      <c r="B28" s="16"/>
      <c r="C28" s="76"/>
      <c r="D28" s="406"/>
      <c r="E28" s="584"/>
      <c r="F28" s="407"/>
      <c r="G28" s="407"/>
      <c r="H28" s="407"/>
      <c r="I28" s="407"/>
      <c r="J28" s="407"/>
      <c r="K28" s="407"/>
      <c r="L28" s="407"/>
      <c r="M28" s="407"/>
      <c r="N28" s="407"/>
      <c r="O28" s="408"/>
      <c r="P28" s="18"/>
      <c r="Q28" s="422"/>
      <c r="R28" s="422"/>
      <c r="S28" s="422"/>
      <c r="T28" s="422"/>
      <c r="U28" s="422"/>
      <c r="V28" s="422"/>
      <c r="W28" s="422"/>
      <c r="X28" s="422"/>
      <c r="Y28" s="422"/>
      <c r="Z28" s="422"/>
    </row>
    <row r="29" spans="2:26" ht="12.75" customHeight="1">
      <c r="B29" s="5"/>
      <c r="C29" s="74"/>
      <c r="D29" s="193" t="s">
        <v>459</v>
      </c>
      <c r="E29" s="706" t="str">
        <f>Translations!$B$1521</f>
        <v>Descrizione della fusione, della scissione o del trasferimento</v>
      </c>
      <c r="F29" s="786"/>
      <c r="G29" s="786"/>
      <c r="H29" s="786"/>
      <c r="I29" s="786"/>
      <c r="J29" s="786"/>
      <c r="K29" s="786"/>
      <c r="L29" s="786"/>
      <c r="M29" s="786"/>
      <c r="N29" s="786"/>
      <c r="O29" s="409"/>
      <c r="P29" s="9"/>
      <c r="Q29" s="422"/>
      <c r="R29" s="422"/>
      <c r="S29" s="422"/>
      <c r="T29" s="422"/>
      <c r="U29" s="422"/>
      <c r="V29" s="422"/>
      <c r="W29" s="422"/>
      <c r="X29" s="422"/>
      <c r="Y29" s="422"/>
      <c r="Z29" s="422"/>
    </row>
    <row r="30" spans="2:26" ht="12.75" customHeight="1">
      <c r="B30" s="5"/>
      <c r="C30" s="74"/>
      <c r="D30" s="202"/>
      <c r="E30" s="785" t="str">
        <f>Translations!$B$1522</f>
        <v>Si prega di inserire qui una breve descrizione del contesto normativo in base al quale si ritiene che l’identificazione degli impianti deve cambiare a partire da ora.</v>
      </c>
      <c r="F30" s="786"/>
      <c r="G30" s="786"/>
      <c r="H30" s="786"/>
      <c r="I30" s="786"/>
      <c r="J30" s="786"/>
      <c r="K30" s="786"/>
      <c r="L30" s="786"/>
      <c r="M30" s="786"/>
      <c r="N30" s="786"/>
      <c r="O30" s="409"/>
      <c r="P30" s="9"/>
      <c r="Q30" s="422"/>
      <c r="R30" s="422"/>
      <c r="S30" s="422"/>
      <c r="T30" s="422"/>
      <c r="U30" s="422"/>
      <c r="V30" s="422"/>
      <c r="W30" s="422"/>
      <c r="X30" s="422"/>
      <c r="Y30" s="422"/>
      <c r="Z30" s="422"/>
    </row>
    <row r="31" spans="2:26" ht="25.5" customHeight="1">
      <c r="B31" s="5"/>
      <c r="C31" s="74"/>
      <c r="D31" s="202"/>
      <c r="E31" s="785" t="str">
        <f>Translations!$B$1523</f>
        <v>La descrizione deve illustrare come gli impianti interessati siano tecnicamente connessi: unità fisiche e connessioni, nonché calore misurabile, gas di scarico o CO2 trasferito da uno all'altro.</v>
      </c>
      <c r="F31" s="786"/>
      <c r="G31" s="786"/>
      <c r="H31" s="786"/>
      <c r="I31" s="786"/>
      <c r="J31" s="786"/>
      <c r="K31" s="786"/>
      <c r="L31" s="786"/>
      <c r="M31" s="786"/>
      <c r="N31" s="786"/>
      <c r="O31" s="409"/>
      <c r="P31" s="411"/>
      <c r="Q31" s="422"/>
      <c r="R31" s="422"/>
      <c r="S31" s="422"/>
      <c r="T31" s="422"/>
      <c r="U31" s="422"/>
      <c r="V31" s="422"/>
      <c r="W31" s="422"/>
      <c r="X31" s="422"/>
      <c r="Y31" s="422"/>
      <c r="Z31" s="422"/>
    </row>
    <row r="32" spans="2:26" ht="54.75" customHeight="1">
      <c r="B32" s="5"/>
      <c r="C32" s="74"/>
      <c r="D32" s="7"/>
      <c r="E32" s="910"/>
      <c r="F32" s="911"/>
      <c r="G32" s="911"/>
      <c r="H32" s="911"/>
      <c r="I32" s="911"/>
      <c r="J32" s="911"/>
      <c r="K32" s="911"/>
      <c r="L32" s="911"/>
      <c r="M32" s="911"/>
      <c r="N32" s="912"/>
      <c r="O32" s="409"/>
      <c r="P32" s="9"/>
      <c r="Q32" s="422"/>
      <c r="R32" s="422"/>
      <c r="S32" s="422"/>
      <c r="T32" s="422"/>
      <c r="U32" s="422"/>
      <c r="V32" s="422"/>
      <c r="W32" s="422"/>
      <c r="X32" s="422"/>
      <c r="Y32" s="422"/>
      <c r="Z32" s="443" t="b">
        <f>CNTR_Merger&lt;&gt;TRUE</f>
        <v>1</v>
      </c>
    </row>
    <row r="33" spans="2:17" ht="4.5" customHeight="1">
      <c r="B33" s="5"/>
      <c r="C33" s="74"/>
      <c r="D33" s="7"/>
      <c r="E33" s="7"/>
      <c r="F33" s="7"/>
      <c r="G33" s="7"/>
      <c r="H33" s="7"/>
      <c r="I33" s="7"/>
      <c r="J33" s="7"/>
      <c r="K33" s="7"/>
      <c r="L33" s="7"/>
      <c r="M33" s="23"/>
      <c r="N33" s="23"/>
      <c r="O33" s="73"/>
      <c r="P33" s="23"/>
      <c r="Q33" s="339"/>
    </row>
    <row r="34" spans="2:16" ht="12.75">
      <c r="B34" s="18"/>
      <c r="C34" s="76"/>
      <c r="D34" s="193" t="s">
        <v>460</v>
      </c>
      <c r="E34" s="706" t="str">
        <f>Translations!$B$421</f>
        <v>Consenso all'uso dei dati contenuti in questo file:</v>
      </c>
      <c r="F34" s="786"/>
      <c r="G34" s="786"/>
      <c r="H34" s="786"/>
      <c r="I34" s="786"/>
      <c r="J34" s="786"/>
      <c r="K34" s="786"/>
      <c r="L34" s="786"/>
      <c r="M34" s="786"/>
      <c r="N34" s="786"/>
      <c r="O34" s="75"/>
      <c r="P34" s="18"/>
    </row>
    <row r="35" spans="2:16" ht="39.75" customHeight="1">
      <c r="B35" s="18"/>
      <c r="C35" s="76"/>
      <c r="D35" s="18"/>
      <c r="E35" s="926" t="str">
        <f>Translations!$B$1053</f>
        <v>I dati contenuti in questo file saranno utilizzati dall'autorità competente per determinare l'assegnazione gratuita di quote ai sensi dell'articolo 10 bis della direttiva EU ETS o eventuali modifiche dei quantitativi stabiliti in precedenti decisioni di assegnazione. I dati saranno inoltre comunicati, in parte o integralmente, alla Commissione europea a norma dell'articolo 24, paragrafo 2, delle CIM.</v>
      </c>
      <c r="F35" s="926"/>
      <c r="G35" s="926"/>
      <c r="H35" s="926"/>
      <c r="I35" s="926"/>
      <c r="J35" s="926"/>
      <c r="K35" s="926"/>
      <c r="L35" s="926"/>
      <c r="M35" s="926"/>
      <c r="N35" s="926"/>
      <c r="O35" s="75"/>
      <c r="P35" s="18"/>
    </row>
    <row r="36" spans="2:25" ht="12.75">
      <c r="B36" s="18"/>
      <c r="C36" s="76"/>
      <c r="D36" s="18"/>
      <c r="E36" s="927"/>
      <c r="F36" s="928"/>
      <c r="G36" s="928"/>
      <c r="H36" s="928"/>
      <c r="I36" s="928"/>
      <c r="J36" s="928"/>
      <c r="K36" s="928"/>
      <c r="L36" s="928"/>
      <c r="M36" s="928"/>
      <c r="N36" s="929"/>
      <c r="O36" s="75"/>
      <c r="P36" s="18"/>
      <c r="X36" s="439" t="s">
        <v>566</v>
      </c>
      <c r="Y36" s="439" t="s">
        <v>567</v>
      </c>
    </row>
    <row r="37" spans="2:16" ht="4.5" customHeight="1">
      <c r="B37" s="18"/>
      <c r="C37" s="76"/>
      <c r="D37" s="18"/>
      <c r="E37" s="18"/>
      <c r="F37" s="18"/>
      <c r="G37" s="18"/>
      <c r="H37" s="18"/>
      <c r="I37" s="18"/>
      <c r="J37" s="18"/>
      <c r="K37" s="18"/>
      <c r="L37" s="18"/>
      <c r="M37" s="18"/>
      <c r="N37" s="18"/>
      <c r="O37" s="75"/>
      <c r="P37" s="18"/>
    </row>
    <row r="38" spans="2:25" ht="12.75">
      <c r="B38" s="18"/>
      <c r="C38" s="76"/>
      <c r="D38" s="18"/>
      <c r="E38" s="913">
        <f>IF(CNTR_HasEntries_A_I,IF(E36="",EUconst_ERR_Mandatory_g,""),"")</f>
      </c>
      <c r="F38" s="913"/>
      <c r="G38" s="913"/>
      <c r="H38" s="913"/>
      <c r="I38" s="913"/>
      <c r="J38" s="913"/>
      <c r="K38" s="913"/>
      <c r="L38" s="913"/>
      <c r="M38" s="913"/>
      <c r="N38" s="913"/>
      <c r="O38" s="75"/>
      <c r="P38" s="18"/>
      <c r="X38" s="342" t="b">
        <f>COUNTA(E13,L15,L18,M18,N18,N26,E32,E36)&gt;0</f>
        <v>0</v>
      </c>
      <c r="Y38" s="342" t="b">
        <f>AND(X38,OR(COUNTA(E13,L15,L18,M18,N18,N26,E32,E36)&lt;8,E38&lt;&gt;""))</f>
        <v>0</v>
      </c>
    </row>
    <row r="39" spans="2:17" ht="4.5" customHeight="1" thickBot="1">
      <c r="B39" s="5"/>
      <c r="C39" s="72"/>
      <c r="D39" s="71"/>
      <c r="E39" s="71"/>
      <c r="F39" s="71"/>
      <c r="G39" s="71"/>
      <c r="H39" s="71"/>
      <c r="I39" s="71"/>
      <c r="J39" s="71"/>
      <c r="K39" s="71"/>
      <c r="L39" s="71"/>
      <c r="M39" s="70"/>
      <c r="N39" s="70"/>
      <c r="O39" s="69"/>
      <c r="P39" s="18"/>
      <c r="Q39" s="339"/>
    </row>
    <row r="40" spans="2:16" ht="12.75">
      <c r="B40" s="18"/>
      <c r="C40" s="18"/>
      <c r="D40" s="18"/>
      <c r="E40" s="18"/>
      <c r="F40" s="18"/>
      <c r="G40" s="18"/>
      <c r="H40" s="18"/>
      <c r="I40" s="18"/>
      <c r="J40" s="18"/>
      <c r="K40" s="18"/>
      <c r="L40" s="18"/>
      <c r="M40" s="18"/>
      <c r="N40" s="18"/>
      <c r="O40" s="18"/>
      <c r="P40" s="18"/>
    </row>
    <row r="41" spans="2:26" ht="25.5" customHeight="1">
      <c r="B41" s="5"/>
      <c r="C41" s="5"/>
      <c r="D41" s="5"/>
      <c r="E41" s="5"/>
      <c r="F41" s="5"/>
      <c r="G41" s="5"/>
      <c r="H41" s="5"/>
      <c r="I41" s="5"/>
      <c r="J41" s="5"/>
      <c r="K41" s="5"/>
      <c r="L41" s="5"/>
      <c r="M41" s="9"/>
      <c r="N41" s="9"/>
      <c r="O41" s="9"/>
      <c r="P41" s="18"/>
      <c r="Q41" s="365"/>
      <c r="R41" s="365"/>
      <c r="S41" s="365"/>
      <c r="T41" s="365"/>
      <c r="U41" s="365"/>
      <c r="V41" s="365"/>
      <c r="W41" s="365"/>
      <c r="X41" s="365"/>
      <c r="Y41" s="365"/>
      <c r="Z41" s="365"/>
    </row>
    <row r="42" spans="1:26" s="523" customFormat="1" ht="18" customHeight="1">
      <c r="A42" s="370"/>
      <c r="B42" s="208"/>
      <c r="C42" s="315" t="s">
        <v>75</v>
      </c>
      <c r="D42" s="331" t="str">
        <f>Translations!$B$344</f>
        <v>Identificazione dell'impianto</v>
      </c>
      <c r="E42" s="331"/>
      <c r="F42" s="331"/>
      <c r="G42" s="331"/>
      <c r="H42" s="331"/>
      <c r="I42" s="331"/>
      <c r="J42" s="331"/>
      <c r="K42" s="331"/>
      <c r="L42" s="331"/>
      <c r="M42" s="331"/>
      <c r="N42" s="331"/>
      <c r="O42" s="209"/>
      <c r="P42" s="18"/>
      <c r="Q42" s="362"/>
      <c r="R42" s="362"/>
      <c r="S42" s="362"/>
      <c r="T42" s="362"/>
      <c r="U42" s="362"/>
      <c r="V42" s="362"/>
      <c r="W42" s="362"/>
      <c r="X42" s="362"/>
      <c r="Y42" s="362"/>
      <c r="Z42" s="362"/>
    </row>
    <row r="43" spans="2:17" ht="12.75" customHeight="1">
      <c r="B43" s="5"/>
      <c r="C43" s="5"/>
      <c r="D43" s="5"/>
      <c r="E43" s="5"/>
      <c r="F43" s="5"/>
      <c r="G43" s="5"/>
      <c r="H43" s="5"/>
      <c r="I43" s="5"/>
      <c r="J43" s="5"/>
      <c r="K43" s="5"/>
      <c r="L43" s="5"/>
      <c r="M43" s="9"/>
      <c r="N43" s="9"/>
      <c r="O43" s="9"/>
      <c r="P43" s="9"/>
      <c r="Q43" s="339"/>
    </row>
    <row r="44" spans="2:17" ht="25.5" customHeight="1">
      <c r="B44" s="5"/>
      <c r="C44" s="5"/>
      <c r="D44" s="813" t="str">
        <f>Translations!$B$1524</f>
        <v>Si prega di notare che tutti i dati qui riportati devono riguardare informazioni relative all'impianto che presenta tale domanda, pertinenti DOPO la fusione, la scissione o il trasferimento di parti dell’impianto.</v>
      </c>
      <c r="E44" s="813"/>
      <c r="F44" s="813"/>
      <c r="G44" s="813"/>
      <c r="H44" s="813"/>
      <c r="I44" s="813"/>
      <c r="J44" s="813"/>
      <c r="K44" s="813"/>
      <c r="L44" s="813"/>
      <c r="M44" s="813"/>
      <c r="N44" s="813"/>
      <c r="O44" s="9"/>
      <c r="P44" s="9"/>
      <c r="Q44" s="339"/>
    </row>
    <row r="45" spans="2:17" ht="4.5" customHeight="1">
      <c r="B45" s="5"/>
      <c r="C45" s="5"/>
      <c r="D45" s="5"/>
      <c r="E45" s="5"/>
      <c r="F45" s="5"/>
      <c r="G45" s="5"/>
      <c r="H45" s="5"/>
      <c r="I45" s="5"/>
      <c r="J45" s="5"/>
      <c r="K45" s="5"/>
      <c r="L45" s="5"/>
      <c r="M45" s="9"/>
      <c r="N45" s="9"/>
      <c r="O45" s="9"/>
      <c r="P45" s="9"/>
      <c r="Q45" s="339"/>
    </row>
    <row r="46" spans="2:16" ht="15">
      <c r="B46" s="18"/>
      <c r="C46" s="16">
        <v>1</v>
      </c>
      <c r="D46" s="840" t="str">
        <f>Translations!$B$345</f>
        <v>Informazioni generali:</v>
      </c>
      <c r="E46" s="724"/>
      <c r="F46" s="724"/>
      <c r="G46" s="724"/>
      <c r="H46" s="724"/>
      <c r="I46" s="724"/>
      <c r="J46" s="724"/>
      <c r="K46" s="724"/>
      <c r="L46" s="724"/>
      <c r="M46" s="724"/>
      <c r="N46" s="724"/>
      <c r="O46" s="18"/>
      <c r="P46" s="18"/>
    </row>
    <row r="47" spans="2:17" ht="4.5" customHeight="1">
      <c r="B47" s="5"/>
      <c r="C47" s="5"/>
      <c r="D47" s="5"/>
      <c r="E47" s="5"/>
      <c r="F47" s="5"/>
      <c r="G47" s="5"/>
      <c r="H47" s="5"/>
      <c r="I47" s="5"/>
      <c r="J47" s="5"/>
      <c r="K47" s="5"/>
      <c r="L47" s="5"/>
      <c r="M47" s="9"/>
      <c r="N47" s="9"/>
      <c r="O47" s="9"/>
      <c r="P47" s="9"/>
      <c r="Q47" s="339"/>
    </row>
    <row r="48" spans="2:16" ht="12.75">
      <c r="B48" s="18"/>
      <c r="C48" s="18"/>
      <c r="D48" s="99" t="s">
        <v>462</v>
      </c>
      <c r="E48" s="728" t="str">
        <f>Translations!$B$346</f>
        <v>Denominazione dell'impianto:</v>
      </c>
      <c r="F48" s="724"/>
      <c r="G48" s="724"/>
      <c r="H48" s="724"/>
      <c r="I48" s="808"/>
      <c r="J48" s="817"/>
      <c r="K48" s="818"/>
      <c r="L48" s="818"/>
      <c r="M48" s="818"/>
      <c r="N48" s="819"/>
      <c r="O48" s="18"/>
      <c r="P48" s="18"/>
    </row>
    <row r="49" spans="2:16" ht="12.75">
      <c r="B49" s="18"/>
      <c r="C49" s="18"/>
      <c r="D49" s="15"/>
      <c r="E49" s="784" t="str">
        <f>Translations!$B$347</f>
        <v>Questo nominativo dovrebbe essere uguale a quello già utilizzato per la corrispondenza con l'autorità competente.</v>
      </c>
      <c r="F49" s="724"/>
      <c r="G49" s="724"/>
      <c r="H49" s="724"/>
      <c r="I49" s="724"/>
      <c r="J49" s="724"/>
      <c r="K49" s="724"/>
      <c r="L49" s="724"/>
      <c r="M49" s="724"/>
      <c r="N49" s="724"/>
      <c r="O49" s="18"/>
      <c r="P49" s="18"/>
    </row>
    <row r="50" spans="2:17" ht="4.5" customHeight="1">
      <c r="B50" s="5"/>
      <c r="C50" s="5"/>
      <c r="D50" s="5"/>
      <c r="E50" s="5"/>
      <c r="F50" s="5"/>
      <c r="G50" s="5"/>
      <c r="H50" s="5"/>
      <c r="I50" s="5"/>
      <c r="J50" s="5"/>
      <c r="K50" s="5"/>
      <c r="L50" s="5"/>
      <c r="M50" s="9"/>
      <c r="N50" s="9"/>
      <c r="O50" s="9"/>
      <c r="P50" s="9"/>
      <c r="Q50" s="339"/>
    </row>
    <row r="51" spans="2:16" ht="12.75">
      <c r="B51" s="18"/>
      <c r="C51" s="18"/>
      <c r="D51" s="99" t="s">
        <v>249</v>
      </c>
      <c r="E51" s="728" t="str">
        <f>Translations!$B$348</f>
        <v>Stato membro in cui l'impianto è situato:</v>
      </c>
      <c r="F51" s="724"/>
      <c r="G51" s="724"/>
      <c r="H51" s="724"/>
      <c r="I51" s="808"/>
      <c r="J51" s="817"/>
      <c r="K51" s="818"/>
      <c r="L51" s="818"/>
      <c r="M51" s="818"/>
      <c r="N51" s="819"/>
      <c r="O51" s="18"/>
      <c r="P51" s="18"/>
    </row>
    <row r="52" spans="2:16" ht="12.75">
      <c r="B52" s="18"/>
      <c r="C52" s="18"/>
      <c r="D52" s="15"/>
      <c r="E52" s="784" t="str">
        <f>Translations!$B$1032</f>
        <v>Per "Stato membro" si intende in questo contesto uno Stato che partecipa al sistema EU ETS; rientrano in questa definizione i 27 Stati membri dell'UE, la Croazia, l'Islanda, la Norvegia e il Liechtenstein.</v>
      </c>
      <c r="F52" s="724"/>
      <c r="G52" s="724"/>
      <c r="H52" s="724"/>
      <c r="I52" s="724"/>
      <c r="J52" s="724"/>
      <c r="K52" s="724"/>
      <c r="L52" s="724"/>
      <c r="M52" s="724"/>
      <c r="N52" s="724"/>
      <c r="O52" s="18"/>
      <c r="P52" s="18"/>
    </row>
    <row r="53" spans="2:17" ht="4.5" customHeight="1">
      <c r="B53" s="5"/>
      <c r="C53" s="5"/>
      <c r="D53" s="5"/>
      <c r="E53" s="5"/>
      <c r="F53" s="5"/>
      <c r="G53" s="5"/>
      <c r="H53" s="5"/>
      <c r="I53" s="5"/>
      <c r="J53" s="5"/>
      <c r="K53" s="5"/>
      <c r="L53" s="5"/>
      <c r="M53" s="9"/>
      <c r="N53" s="9"/>
      <c r="O53" s="9"/>
      <c r="P53" s="9"/>
      <c r="Q53" s="339"/>
    </row>
    <row r="54" spans="2:16" ht="12.75">
      <c r="B54" s="18"/>
      <c r="C54" s="18"/>
      <c r="D54" s="99" t="s">
        <v>458</v>
      </c>
      <c r="E54" s="837" t="str">
        <f>Translations!$B$349</f>
        <v>L'impianto è stato incluso in precedenza nel sistema ETS dell'UE?</v>
      </c>
      <c r="F54" s="724"/>
      <c r="G54" s="724"/>
      <c r="H54" s="724"/>
      <c r="I54" s="808"/>
      <c r="J54" s="324"/>
      <c r="K54" s="18"/>
      <c r="L54" s="18"/>
      <c r="M54" s="18"/>
      <c r="N54" s="18"/>
      <c r="O54" s="18"/>
      <c r="P54" s="215"/>
    </row>
    <row r="55" spans="2:17" ht="4.5" customHeight="1">
      <c r="B55" s="5"/>
      <c r="C55" s="5"/>
      <c r="D55" s="5"/>
      <c r="E55" s="5"/>
      <c r="F55" s="5"/>
      <c r="G55" s="5"/>
      <c r="H55" s="5"/>
      <c r="I55" s="5"/>
      <c r="J55" s="5"/>
      <c r="K55" s="5"/>
      <c r="L55" s="5"/>
      <c r="M55" s="9"/>
      <c r="N55" s="9"/>
      <c r="O55" s="9"/>
      <c r="P55" s="9"/>
      <c r="Q55" s="339"/>
    </row>
    <row r="56" spans="2:16" ht="12.75">
      <c r="B56" s="18"/>
      <c r="C56" s="18"/>
      <c r="D56" s="99" t="s">
        <v>130</v>
      </c>
      <c r="E56" s="728" t="str">
        <f>Translations!$B$350</f>
        <v>Identificativo univoco fornito dall'autorità competente:</v>
      </c>
      <c r="F56" s="724"/>
      <c r="G56" s="724"/>
      <c r="H56" s="724"/>
      <c r="I56" s="808"/>
      <c r="J56" s="817"/>
      <c r="K56" s="818"/>
      <c r="L56" s="818"/>
      <c r="M56" s="818"/>
      <c r="N56" s="819"/>
      <c r="O56" s="18"/>
      <c r="P56" s="18"/>
    </row>
    <row r="57" spans="2:16" ht="27" customHeight="1">
      <c r="B57" s="18"/>
      <c r="C57" s="18"/>
      <c r="D57" s="18"/>
      <c r="E57" s="784" t="str">
        <f>Translations!$B$1033</f>
        <v>Si tratta del numero di autorizzazione ad emettere gas ad effetto serra riportato nella deliberazione di rilascio dell'autorizzazione.</v>
      </c>
      <c r="F57" s="724"/>
      <c r="G57" s="724"/>
      <c r="H57" s="724"/>
      <c r="I57" s="724"/>
      <c r="J57" s="724"/>
      <c r="K57" s="724"/>
      <c r="L57" s="724"/>
      <c r="M57" s="724"/>
      <c r="N57" s="724"/>
      <c r="O57" s="18"/>
      <c r="P57" s="18"/>
    </row>
    <row r="58" spans="2:16" ht="12.75">
      <c r="B58" s="18"/>
      <c r="C58" s="18"/>
      <c r="D58" s="18"/>
      <c r="E58" s="784" t="str">
        <f>Translations!$B$1034</f>
        <v>Per gli impianti realizzati ex novo (greenfield), i gestori devono rivolgersi all'autorità competente per farsi attribuire tale identificativo.</v>
      </c>
      <c r="F58" s="724"/>
      <c r="G58" s="724"/>
      <c r="H58" s="724"/>
      <c r="I58" s="724"/>
      <c r="J58" s="724"/>
      <c r="K58" s="724"/>
      <c r="L58" s="724"/>
      <c r="M58" s="724"/>
      <c r="N58" s="724"/>
      <c r="O58" s="18"/>
      <c r="P58" s="18"/>
    </row>
    <row r="59" spans="2:16" ht="12.75">
      <c r="B59" s="18"/>
      <c r="C59" s="18"/>
      <c r="D59" s="18"/>
      <c r="E59" s="784" t="str">
        <f>Translations!$B$351</f>
        <v>Le autorità competenti devono garantire che sia disponibile un identificativo univoco prima di comunicare qualsiasi dato alla Commissione europea. </v>
      </c>
      <c r="F59" s="724"/>
      <c r="G59" s="724"/>
      <c r="H59" s="724"/>
      <c r="I59" s="724"/>
      <c r="J59" s="724"/>
      <c r="K59" s="724"/>
      <c r="L59" s="724"/>
      <c r="M59" s="724"/>
      <c r="N59" s="724"/>
      <c r="O59" s="18"/>
      <c r="P59" s="18"/>
    </row>
    <row r="60" spans="2:17" ht="4.5" customHeight="1">
      <c r="B60" s="5"/>
      <c r="C60" s="5"/>
      <c r="D60" s="5"/>
      <c r="E60" s="5"/>
      <c r="F60" s="5"/>
      <c r="G60" s="5"/>
      <c r="H60" s="5"/>
      <c r="I60" s="5"/>
      <c r="J60" s="5"/>
      <c r="K60" s="5"/>
      <c r="L60" s="5"/>
      <c r="M60" s="9"/>
      <c r="N60" s="9"/>
      <c r="O60" s="9"/>
      <c r="P60" s="9"/>
      <c r="Q60" s="339"/>
    </row>
    <row r="61" spans="2:16" ht="12.75">
      <c r="B61" s="18"/>
      <c r="C61" s="18"/>
      <c r="D61" s="99" t="s">
        <v>459</v>
      </c>
      <c r="E61" s="728" t="str">
        <f>Translations!$B$352</f>
        <v>Codice identificativo dell'impianto nel registro:</v>
      </c>
      <c r="F61" s="724"/>
      <c r="G61" s="724"/>
      <c r="H61" s="724"/>
      <c r="I61" s="808"/>
      <c r="J61" s="809"/>
      <c r="K61" s="810"/>
      <c r="L61" s="810"/>
      <c r="M61" s="810"/>
      <c r="N61" s="811"/>
      <c r="O61" s="18"/>
      <c r="P61" s="18"/>
    </row>
    <row r="62" spans="2:16" ht="27" customHeight="1">
      <c r="B62" s="18"/>
      <c r="C62" s="18"/>
      <c r="D62" s="18"/>
      <c r="E62" s="784" t="str">
        <f>Translations!$B$353</f>
        <v>Di norma si tratta di un numero naturale, ossia un codice diverso da quello identificativo dell'autorizzazione utilizzato nel registro, corrispondente all'"installation identifier" presente sul registro.</v>
      </c>
      <c r="F62" s="724"/>
      <c r="G62" s="724"/>
      <c r="H62" s="724"/>
      <c r="I62" s="724"/>
      <c r="J62" s="724"/>
      <c r="K62" s="724"/>
      <c r="L62" s="724"/>
      <c r="M62" s="724"/>
      <c r="N62" s="724"/>
      <c r="O62" s="18"/>
      <c r="P62" s="18"/>
    </row>
    <row r="63" spans="2:17" ht="4.5" customHeight="1">
      <c r="B63" s="5"/>
      <c r="C63" s="5"/>
      <c r="D63" s="5"/>
      <c r="E63" s="5"/>
      <c r="F63" s="5"/>
      <c r="G63" s="5"/>
      <c r="H63" s="5"/>
      <c r="I63" s="5"/>
      <c r="J63" s="5"/>
      <c r="K63" s="5"/>
      <c r="L63" s="5"/>
      <c r="M63" s="9"/>
      <c r="N63" s="9"/>
      <c r="O63" s="9"/>
      <c r="P63" s="9"/>
      <c r="Q63" s="339"/>
    </row>
    <row r="64" spans="2:16" ht="12.75">
      <c r="B64" s="18"/>
      <c r="C64" s="18"/>
      <c r="D64" s="99" t="s">
        <v>460</v>
      </c>
      <c r="E64" s="728" t="str">
        <f>Translations!$B$354</f>
        <v>Identificativo univoco suggerito per la notifica alla Commissione:</v>
      </c>
      <c r="F64" s="724"/>
      <c r="G64" s="724"/>
      <c r="H64" s="724"/>
      <c r="I64" s="808"/>
      <c r="J64" s="797">
        <f>IF(AND(NOT(ISBLANK(J51)),NOT(ISBLANK(J54))),CONCATENATE(INDEX(EUconst_MSlistISOcodes,MATCH(J51,EUconst_MSlist,0)),IF(J54=TRUE,IF(ISNUMBER(J61),TEXT(J61,"000000000000000"),CONCATENATE("-existing-",IF(ISBLANK(J61),EUconst_Incomplete,J61),"-",IF(ISBLANK(J56),EUconst_Incomplete,J56))),CONCATENATE("-new-",IF(ISBLANK(J56),EUconst_Incomplete,J56),IF(ISBLANK(J61),"",CONCATENATE("-",J61))))),"")</f>
      </c>
      <c r="K64" s="798"/>
      <c r="L64" s="798"/>
      <c r="M64" s="798"/>
      <c r="N64" s="799"/>
      <c r="O64" s="18"/>
      <c r="P64" s="18"/>
    </row>
    <row r="65" spans="2:17" ht="4.5" customHeight="1">
      <c r="B65" s="5"/>
      <c r="C65" s="5"/>
      <c r="D65" s="5"/>
      <c r="E65" s="5"/>
      <c r="F65" s="5"/>
      <c r="G65" s="5"/>
      <c r="H65" s="5"/>
      <c r="I65" s="5"/>
      <c r="J65" s="5"/>
      <c r="K65" s="5"/>
      <c r="L65" s="5"/>
      <c r="M65" s="9"/>
      <c r="N65" s="9"/>
      <c r="O65" s="9"/>
      <c r="P65" s="9"/>
      <c r="Q65" s="339"/>
    </row>
    <row r="66" spans="2:16" ht="12.75">
      <c r="B66" s="18"/>
      <c r="C66" s="18"/>
      <c r="D66" s="99" t="s">
        <v>408</v>
      </c>
      <c r="E66" s="706" t="str">
        <f>Translations!$B$355</f>
        <v>Informazioni sull'autorizzazione all'emissione di gas a effetto serra:</v>
      </c>
      <c r="F66" s="786"/>
      <c r="G66" s="786"/>
      <c r="H66" s="786"/>
      <c r="I66" s="786"/>
      <c r="J66" s="724"/>
      <c r="K66" s="724"/>
      <c r="L66" s="724"/>
      <c r="M66" s="724"/>
      <c r="N66" s="724"/>
      <c r="O66" s="18"/>
      <c r="P66" s="18"/>
    </row>
    <row r="67" spans="2:16" ht="22.5" customHeight="1">
      <c r="B67" s="18"/>
      <c r="C67" s="18"/>
      <c r="D67" s="18"/>
      <c r="E67" s="784" t="str">
        <f>Translations!$B$356</f>
        <v>Fornire qui le informazioni sull'autorizzazione all'emissione di gas a effetto serra (= autorizzazione rilasciata conformemente agli articoli 5 e 6 della direttiva sul sistema ETS dell'UE).</v>
      </c>
      <c r="F67" s="724"/>
      <c r="G67" s="724"/>
      <c r="H67" s="724"/>
      <c r="I67" s="724"/>
      <c r="J67" s="724"/>
      <c r="K67" s="724"/>
      <c r="L67" s="724"/>
      <c r="M67" s="724"/>
      <c r="N67" s="724"/>
      <c r="O67" s="18"/>
      <c r="P67" s="18"/>
    </row>
    <row r="68" spans="2:16" ht="12.75">
      <c r="B68" s="18"/>
      <c r="C68" s="18"/>
      <c r="D68" s="18"/>
      <c r="E68" s="784" t="str">
        <f>Translations!$B$357</f>
        <v>Gli Stati membri possono rendere queste informazioni facoltative se l'autorità competente ne è già in possesso.</v>
      </c>
      <c r="F68" s="724"/>
      <c r="G68" s="724"/>
      <c r="H68" s="724"/>
      <c r="I68" s="724"/>
      <c r="J68" s="724"/>
      <c r="K68" s="724"/>
      <c r="L68" s="724"/>
      <c r="M68" s="724"/>
      <c r="N68" s="724"/>
      <c r="O68" s="18"/>
      <c r="P68" s="18"/>
    </row>
    <row r="69" spans="2:16" ht="28.5" customHeight="1">
      <c r="B69" s="18"/>
      <c r="C69" s="18"/>
      <c r="D69" s="102"/>
      <c r="E69" s="100"/>
      <c r="F69" s="715" t="str">
        <f>Translations!$B$358</f>
        <v>Nome dell'autorità competente:</v>
      </c>
      <c r="G69" s="724"/>
      <c r="H69" s="724"/>
      <c r="I69" s="808"/>
      <c r="J69" s="817"/>
      <c r="K69" s="818"/>
      <c r="L69" s="818"/>
      <c r="M69" s="818"/>
      <c r="N69" s="819"/>
      <c r="O69" s="18"/>
      <c r="P69" s="18"/>
    </row>
    <row r="70" spans="2:17" ht="4.5" customHeight="1">
      <c r="B70" s="5"/>
      <c r="C70" s="5"/>
      <c r="D70" s="5"/>
      <c r="E70" s="5"/>
      <c r="F70" s="5"/>
      <c r="G70" s="5"/>
      <c r="H70" s="5"/>
      <c r="I70" s="5"/>
      <c r="J70" s="5"/>
      <c r="K70" s="5"/>
      <c r="L70" s="5"/>
      <c r="M70" s="9"/>
      <c r="N70" s="9"/>
      <c r="O70" s="9"/>
      <c r="P70" s="9"/>
      <c r="Q70" s="339"/>
    </row>
    <row r="71" spans="2:16" ht="12.75">
      <c r="B71" s="18"/>
      <c r="C71" s="18"/>
      <c r="D71" s="99"/>
      <c r="E71" s="100"/>
      <c r="F71" s="838" t="str">
        <f>Translations!$B$359</f>
        <v>Prima autorizzazione all'emissione di gas a effetto serra ricevuta quando l'impianto è stato incluso nel sistema ETS per la prima volta:</v>
      </c>
      <c r="G71" s="754"/>
      <c r="H71" s="754"/>
      <c r="I71" s="754"/>
      <c r="J71" s="754"/>
      <c r="K71" s="754"/>
      <c r="L71" s="754"/>
      <c r="M71" s="754"/>
      <c r="N71" s="754"/>
      <c r="O71" s="18"/>
      <c r="P71" s="18"/>
    </row>
    <row r="72" spans="2:16" ht="12.75">
      <c r="B72" s="18"/>
      <c r="C72" s="18"/>
      <c r="D72" s="102"/>
      <c r="E72" s="190" t="s">
        <v>427</v>
      </c>
      <c r="F72" s="834" t="str">
        <f>Translations!$B$360</f>
        <v>Identificativo dell'autorizzazione:</v>
      </c>
      <c r="G72" s="835"/>
      <c r="H72" s="835"/>
      <c r="I72" s="836"/>
      <c r="J72" s="843"/>
      <c r="K72" s="844"/>
      <c r="L72" s="844"/>
      <c r="M72" s="844"/>
      <c r="N72" s="844"/>
      <c r="O72" s="18"/>
      <c r="P72" s="18"/>
    </row>
    <row r="73" spans="2:16" ht="12.75">
      <c r="B73" s="18"/>
      <c r="C73" s="18"/>
      <c r="D73" s="102"/>
      <c r="E73" s="190" t="s">
        <v>428</v>
      </c>
      <c r="F73" s="849" t="str">
        <f>Translations!$B$361</f>
        <v>Data di rilascio:</v>
      </c>
      <c r="G73" s="850"/>
      <c r="H73" s="850"/>
      <c r="I73" s="851"/>
      <c r="J73" s="847"/>
      <c r="K73" s="848"/>
      <c r="L73" s="848"/>
      <c r="M73" s="848"/>
      <c r="N73" s="848"/>
      <c r="O73" s="18"/>
      <c r="P73" s="18"/>
    </row>
    <row r="74" spans="2:17" ht="4.5" customHeight="1">
      <c r="B74" s="5"/>
      <c r="C74" s="5"/>
      <c r="D74" s="5"/>
      <c r="E74" s="189"/>
      <c r="F74" s="5"/>
      <c r="G74" s="5"/>
      <c r="H74" s="5"/>
      <c r="I74" s="5"/>
      <c r="J74" s="5"/>
      <c r="K74" s="5"/>
      <c r="L74" s="5"/>
      <c r="M74" s="9"/>
      <c r="N74" s="9"/>
      <c r="O74" s="9"/>
      <c r="P74" s="9"/>
      <c r="Q74" s="339"/>
    </row>
    <row r="75" spans="2:16" ht="12.75">
      <c r="B75" s="18"/>
      <c r="C75" s="18"/>
      <c r="D75" s="99"/>
      <c r="E75" s="190"/>
      <c r="F75" s="839" t="str">
        <f>Translations!$B$1525</f>
        <v>Ultimo aggiornamento dell’autorizzazione:</v>
      </c>
      <c r="G75" s="754"/>
      <c r="H75" s="754"/>
      <c r="I75" s="754"/>
      <c r="J75" s="754"/>
      <c r="K75" s="754"/>
      <c r="L75" s="754"/>
      <c r="M75" s="754"/>
      <c r="N75" s="754"/>
      <c r="O75" s="18"/>
      <c r="P75" s="18"/>
    </row>
    <row r="76" spans="2:16" ht="12.75">
      <c r="B76" s="18"/>
      <c r="C76" s="18"/>
      <c r="D76" s="102"/>
      <c r="E76" s="190" t="s">
        <v>429</v>
      </c>
      <c r="F76" s="834" t="str">
        <f>Translations!$B$360</f>
        <v>Identificativo dell'autorizzazione:</v>
      </c>
      <c r="G76" s="835"/>
      <c r="H76" s="835"/>
      <c r="I76" s="836"/>
      <c r="J76" s="845"/>
      <c r="K76" s="846"/>
      <c r="L76" s="846"/>
      <c r="M76" s="846"/>
      <c r="N76" s="846"/>
      <c r="O76" s="18"/>
      <c r="P76" s="18"/>
    </row>
    <row r="77" spans="2:16" ht="12.75">
      <c r="B77" s="18"/>
      <c r="C77" s="18"/>
      <c r="D77" s="102"/>
      <c r="E77" s="190" t="s">
        <v>208</v>
      </c>
      <c r="F77" s="849" t="str">
        <f>Translations!$B$361</f>
        <v>Data di rilascio:</v>
      </c>
      <c r="G77" s="850"/>
      <c r="H77" s="850"/>
      <c r="I77" s="851"/>
      <c r="J77" s="847"/>
      <c r="K77" s="848"/>
      <c r="L77" s="848"/>
      <c r="M77" s="848"/>
      <c r="N77" s="848"/>
      <c r="O77" s="18"/>
      <c r="P77" s="18"/>
    </row>
    <row r="78" spans="2:17" ht="4.5" customHeight="1">
      <c r="B78" s="5"/>
      <c r="C78" s="5"/>
      <c r="D78" s="5"/>
      <c r="E78" s="5"/>
      <c r="F78" s="5"/>
      <c r="G78" s="5"/>
      <c r="H78" s="5"/>
      <c r="I78" s="5"/>
      <c r="J78" s="5"/>
      <c r="K78" s="5"/>
      <c r="L78" s="5"/>
      <c r="M78" s="9"/>
      <c r="N78" s="9"/>
      <c r="O78" s="9"/>
      <c r="P78" s="18"/>
      <c r="Q78" s="339"/>
    </row>
    <row r="79" spans="2:16" ht="12.75">
      <c r="B79" s="18"/>
      <c r="C79" s="215"/>
      <c r="D79" s="14" t="s">
        <v>488</v>
      </c>
      <c r="E79" s="837" t="str">
        <f>Translations!$B$363</f>
        <v>Dati relativi al gestore:</v>
      </c>
      <c r="F79" s="724"/>
      <c r="G79" s="724"/>
      <c r="H79" s="724"/>
      <c r="I79" s="724"/>
      <c r="J79" s="724"/>
      <c r="K79" s="724"/>
      <c r="L79" s="724"/>
      <c r="M79" s="724"/>
      <c r="N79" s="724"/>
      <c r="O79" s="18"/>
      <c r="P79" s="18"/>
    </row>
    <row r="80" spans="2:16" ht="25.5" customHeight="1">
      <c r="B80" s="18"/>
      <c r="C80" s="18"/>
      <c r="D80" s="15"/>
      <c r="E80" s="787" t="str">
        <f>Translations!$B$364</f>
        <v>Il gestore è la persona [fisica o giuridica] che gestisce o controlla un impianto o, se previsto dalla normativa nazionale, alla quale è stato delegato il potere economico decisionale riguardo al funzionamento tecnico dell'impianto.</v>
      </c>
      <c r="F80" s="852"/>
      <c r="G80" s="852"/>
      <c r="H80" s="852"/>
      <c r="I80" s="852"/>
      <c r="J80" s="852"/>
      <c r="K80" s="852"/>
      <c r="L80" s="852"/>
      <c r="M80" s="852"/>
      <c r="N80" s="852"/>
      <c r="O80" s="18"/>
      <c r="P80" s="18"/>
    </row>
    <row r="81" spans="2:16" ht="12.75">
      <c r="B81" s="18"/>
      <c r="C81" s="18"/>
      <c r="D81" s="102"/>
      <c r="E81" s="100"/>
      <c r="F81" s="190" t="s">
        <v>427</v>
      </c>
      <c r="G81" s="834" t="str">
        <f>Translations!$B$365</f>
        <v>Nome del gestore:</v>
      </c>
      <c r="H81" s="835"/>
      <c r="I81" s="836"/>
      <c r="J81" s="843"/>
      <c r="K81" s="844"/>
      <c r="L81" s="844"/>
      <c r="M81" s="844"/>
      <c r="N81" s="844"/>
      <c r="O81" s="18"/>
      <c r="P81" s="18"/>
    </row>
    <row r="82" spans="2:16" ht="12.75">
      <c r="B82" s="18"/>
      <c r="C82" s="18"/>
      <c r="D82" s="102"/>
      <c r="E82" s="100"/>
      <c r="F82" s="190" t="s">
        <v>428</v>
      </c>
      <c r="G82" s="820" t="str">
        <f>Translations!$B$366</f>
        <v>Via, numero:</v>
      </c>
      <c r="H82" s="821"/>
      <c r="I82" s="822"/>
      <c r="J82" s="841"/>
      <c r="K82" s="842"/>
      <c r="L82" s="842"/>
      <c r="M82" s="842"/>
      <c r="N82" s="842"/>
      <c r="O82" s="18"/>
      <c r="P82" s="18"/>
    </row>
    <row r="83" spans="2:16" ht="12.75">
      <c r="B83" s="18"/>
      <c r="C83" s="18"/>
      <c r="D83" s="102"/>
      <c r="E83" s="100"/>
      <c r="F83" s="190" t="s">
        <v>429</v>
      </c>
      <c r="G83" s="820" t="str">
        <f>Translations!$B$367</f>
        <v>CAP:</v>
      </c>
      <c r="H83" s="821"/>
      <c r="I83" s="822"/>
      <c r="J83" s="841"/>
      <c r="K83" s="842"/>
      <c r="L83" s="842"/>
      <c r="M83" s="842"/>
      <c r="N83" s="842"/>
      <c r="O83" s="18"/>
      <c r="P83" s="18"/>
    </row>
    <row r="84" spans="2:16" ht="12.75">
      <c r="B84" s="18"/>
      <c r="C84" s="18"/>
      <c r="D84" s="102"/>
      <c r="E84" s="100"/>
      <c r="F84" s="190" t="s">
        <v>208</v>
      </c>
      <c r="G84" s="820" t="str">
        <f>Translations!$B$368</f>
        <v>Città:</v>
      </c>
      <c r="H84" s="821"/>
      <c r="I84" s="822"/>
      <c r="J84" s="841"/>
      <c r="K84" s="842"/>
      <c r="L84" s="842"/>
      <c r="M84" s="842"/>
      <c r="N84" s="842"/>
      <c r="O84" s="18"/>
      <c r="P84" s="18"/>
    </row>
    <row r="85" spans="2:16" ht="12.75">
      <c r="B85" s="18"/>
      <c r="C85" s="18"/>
      <c r="D85" s="102"/>
      <c r="E85" s="100"/>
      <c r="F85" s="190" t="s">
        <v>144</v>
      </c>
      <c r="G85" s="820" t="str">
        <f>Translations!$B$369</f>
        <v>Paese:</v>
      </c>
      <c r="H85" s="821"/>
      <c r="I85" s="822"/>
      <c r="J85" s="841"/>
      <c r="K85" s="842"/>
      <c r="L85" s="842"/>
      <c r="M85" s="842"/>
      <c r="N85" s="842"/>
      <c r="O85" s="18"/>
      <c r="P85" s="18"/>
    </row>
    <row r="86" spans="2:16" ht="12.75">
      <c r="B86" s="18"/>
      <c r="C86" s="18"/>
      <c r="D86" s="102"/>
      <c r="E86" s="100"/>
      <c r="F86" s="190" t="s">
        <v>145</v>
      </c>
      <c r="G86" s="820" t="str">
        <f>Translations!$B$370</f>
        <v>Nome del rappresentante autorizzato:</v>
      </c>
      <c r="H86" s="821"/>
      <c r="I86" s="822"/>
      <c r="J86" s="841"/>
      <c r="K86" s="842"/>
      <c r="L86" s="842"/>
      <c r="M86" s="842"/>
      <c r="N86" s="842"/>
      <c r="O86" s="18"/>
      <c r="P86" s="18"/>
    </row>
    <row r="87" spans="2:16" ht="12.75">
      <c r="B87" s="18"/>
      <c r="C87" s="18"/>
      <c r="D87" s="102"/>
      <c r="E87" s="100"/>
      <c r="F87" s="190" t="s">
        <v>146</v>
      </c>
      <c r="G87" s="820" t="str">
        <f>Translations!$B$371</f>
        <v>Indirizzo di posta elettronica:</v>
      </c>
      <c r="H87" s="821"/>
      <c r="I87" s="822"/>
      <c r="J87" s="841"/>
      <c r="K87" s="842"/>
      <c r="L87" s="842"/>
      <c r="M87" s="842"/>
      <c r="N87" s="842"/>
      <c r="O87" s="18"/>
      <c r="P87" s="18"/>
    </row>
    <row r="88" spans="2:16" ht="12.75">
      <c r="B88" s="18"/>
      <c r="C88" s="18"/>
      <c r="D88" s="102"/>
      <c r="E88" s="100"/>
      <c r="F88" s="190" t="s">
        <v>147</v>
      </c>
      <c r="G88" s="820" t="str">
        <f>Translations!$B$372</f>
        <v>Telefono:</v>
      </c>
      <c r="H88" s="821"/>
      <c r="I88" s="822"/>
      <c r="J88" s="841"/>
      <c r="K88" s="842"/>
      <c r="L88" s="842"/>
      <c r="M88" s="842"/>
      <c r="N88" s="842"/>
      <c r="O88" s="18"/>
      <c r="P88" s="18"/>
    </row>
    <row r="89" spans="2:16" ht="12.75">
      <c r="B89" s="18"/>
      <c r="C89" s="18"/>
      <c r="D89" s="102"/>
      <c r="E89" s="100"/>
      <c r="F89" s="190" t="s">
        <v>148</v>
      </c>
      <c r="G89" s="849" t="str">
        <f>Translations!$B$373</f>
        <v>Fax:</v>
      </c>
      <c r="H89" s="850"/>
      <c r="I89" s="851"/>
      <c r="J89" s="847"/>
      <c r="K89" s="848"/>
      <c r="L89" s="848"/>
      <c r="M89" s="848"/>
      <c r="N89" s="848"/>
      <c r="O89" s="18"/>
      <c r="P89" s="18"/>
    </row>
    <row r="90" spans="2:17" ht="4.5" customHeight="1">
      <c r="B90" s="5"/>
      <c r="C90" s="5"/>
      <c r="D90" s="5"/>
      <c r="E90" s="5"/>
      <c r="F90" s="5"/>
      <c r="G90" s="5"/>
      <c r="H90" s="5"/>
      <c r="I90" s="5"/>
      <c r="J90" s="5"/>
      <c r="K90" s="5"/>
      <c r="L90" s="5"/>
      <c r="M90" s="9"/>
      <c r="N90" s="9"/>
      <c r="O90" s="9"/>
      <c r="P90" s="9"/>
      <c r="Q90" s="339"/>
    </row>
    <row r="91" spans="2:16" ht="12.75">
      <c r="B91" s="18"/>
      <c r="C91" s="18"/>
      <c r="D91" s="14" t="s">
        <v>489</v>
      </c>
      <c r="E91" s="837" t="str">
        <f>Translations!$B$374</f>
        <v>Indirizzo dell'impianto:</v>
      </c>
      <c r="F91" s="724"/>
      <c r="G91" s="724"/>
      <c r="H91" s="724"/>
      <c r="I91" s="724"/>
      <c r="J91" s="724"/>
      <c r="K91" s="724"/>
      <c r="L91" s="724"/>
      <c r="M91" s="724"/>
      <c r="N91" s="724"/>
      <c r="O91" s="18"/>
      <c r="P91" s="18"/>
    </row>
    <row r="92" spans="2:16" ht="12.75">
      <c r="B92" s="18"/>
      <c r="C92" s="18"/>
      <c r="D92" s="102"/>
      <c r="E92" s="100"/>
      <c r="F92" s="190" t="s">
        <v>427</v>
      </c>
      <c r="G92" s="834" t="str">
        <f>Translations!$B$366</f>
        <v>Via, numero:</v>
      </c>
      <c r="H92" s="835"/>
      <c r="I92" s="836"/>
      <c r="J92" s="843"/>
      <c r="K92" s="844"/>
      <c r="L92" s="844"/>
      <c r="M92" s="844"/>
      <c r="N92" s="844"/>
      <c r="O92" s="18"/>
      <c r="P92" s="18"/>
    </row>
    <row r="93" spans="2:16" ht="12.75">
      <c r="B93" s="18"/>
      <c r="C93" s="18"/>
      <c r="D93" s="102"/>
      <c r="E93" s="100"/>
      <c r="F93" s="190" t="s">
        <v>428</v>
      </c>
      <c r="G93" s="820" t="str">
        <f>Translations!$B$367</f>
        <v>CAP:</v>
      </c>
      <c r="H93" s="821"/>
      <c r="I93" s="822"/>
      <c r="J93" s="841"/>
      <c r="K93" s="842"/>
      <c r="L93" s="842"/>
      <c r="M93" s="842"/>
      <c r="N93" s="842"/>
      <c r="O93" s="18"/>
      <c r="P93" s="18"/>
    </row>
    <row r="94" spans="2:16" ht="12.75">
      <c r="B94" s="18"/>
      <c r="C94" s="18"/>
      <c r="D94" s="102"/>
      <c r="E94" s="100"/>
      <c r="F94" s="190" t="s">
        <v>429</v>
      </c>
      <c r="G94" s="820" t="str">
        <f>Translations!$B$368</f>
        <v>Città:</v>
      </c>
      <c r="H94" s="821"/>
      <c r="I94" s="822"/>
      <c r="J94" s="841"/>
      <c r="K94" s="842"/>
      <c r="L94" s="842"/>
      <c r="M94" s="842"/>
      <c r="N94" s="842"/>
      <c r="O94" s="18"/>
      <c r="P94" s="18"/>
    </row>
    <row r="95" spans="2:16" ht="12.75">
      <c r="B95" s="18"/>
      <c r="C95" s="18"/>
      <c r="D95" s="102"/>
      <c r="E95" s="100"/>
      <c r="F95" s="190" t="s">
        <v>208</v>
      </c>
      <c r="G95" s="849" t="str">
        <f>Translations!$B$369</f>
        <v>Paese:</v>
      </c>
      <c r="H95" s="850"/>
      <c r="I95" s="851"/>
      <c r="J95" s="847"/>
      <c r="K95" s="848"/>
      <c r="L95" s="848"/>
      <c r="M95" s="848"/>
      <c r="N95" s="848"/>
      <c r="O95" s="18"/>
      <c r="P95" s="18"/>
    </row>
    <row r="96" spans="2:17" ht="12.75" customHeight="1">
      <c r="B96" s="5"/>
      <c r="C96" s="5"/>
      <c r="D96" s="5"/>
      <c r="E96" s="5"/>
      <c r="F96" s="5"/>
      <c r="G96" s="5"/>
      <c r="H96" s="5"/>
      <c r="I96" s="5"/>
      <c r="J96" s="5"/>
      <c r="K96" s="5"/>
      <c r="L96" s="5"/>
      <c r="M96" s="9"/>
      <c r="N96" s="9"/>
      <c r="O96" s="9"/>
      <c r="P96" s="9"/>
      <c r="Q96" s="339"/>
    </row>
    <row r="97" spans="2:16" ht="15">
      <c r="B97" s="903"/>
      <c r="C97" s="16">
        <v>2</v>
      </c>
      <c r="D97" s="840" t="str">
        <f>Translations!$B$375</f>
        <v>Referenti:</v>
      </c>
      <c r="E97" s="724"/>
      <c r="F97" s="724"/>
      <c r="G97" s="724"/>
      <c r="H97" s="724"/>
      <c r="I97" s="724"/>
      <c r="J97" s="724"/>
      <c r="K97" s="724"/>
      <c r="L97" s="724"/>
      <c r="M97" s="724"/>
      <c r="N97" s="724"/>
      <c r="O97" s="18"/>
      <c r="P97" s="18"/>
    </row>
    <row r="98" spans="2:16" ht="15" customHeight="1">
      <c r="B98" s="903"/>
      <c r="C98" s="3"/>
      <c r="D98" s="18"/>
      <c r="E98" s="784" t="str">
        <f>Translations!$B$376</f>
        <v>Indicare il nome delle persone alle quali l'autorità competente può rivolgersi in caso di questioni relative alla presente comunicazione, compresa la sua verifica.</v>
      </c>
      <c r="F98" s="724"/>
      <c r="G98" s="724"/>
      <c r="H98" s="724"/>
      <c r="I98" s="724"/>
      <c r="J98" s="724"/>
      <c r="K98" s="724"/>
      <c r="L98" s="724"/>
      <c r="M98" s="724"/>
      <c r="N98" s="724"/>
      <c r="O98" s="18"/>
      <c r="P98" s="18"/>
    </row>
    <row r="99" spans="2:17" ht="4.5" customHeight="1">
      <c r="B99" s="903"/>
      <c r="C99" s="17"/>
      <c r="D99" s="5"/>
      <c r="E99" s="5"/>
      <c r="F99" s="5"/>
      <c r="G99" s="5"/>
      <c r="H99" s="5"/>
      <c r="I99" s="5"/>
      <c r="J99" s="5"/>
      <c r="K99" s="5"/>
      <c r="L99" s="5"/>
      <c r="M99" s="9"/>
      <c r="N99" s="9"/>
      <c r="O99" s="9"/>
      <c r="P99" s="9"/>
      <c r="Q99" s="339"/>
    </row>
    <row r="100" spans="2:16" ht="12.75" customHeight="1">
      <c r="B100" s="903"/>
      <c r="C100" s="17"/>
      <c r="D100" s="99" t="s">
        <v>462</v>
      </c>
      <c r="E100" s="837" t="str">
        <f>Translations!$B$377</f>
        <v>Referente principale per le questioni tecniche relative ai dati dell'impianto:</v>
      </c>
      <c r="F100" s="724"/>
      <c r="G100" s="724"/>
      <c r="H100" s="724"/>
      <c r="I100" s="724"/>
      <c r="J100" s="724"/>
      <c r="K100" s="724"/>
      <c r="L100" s="724"/>
      <c r="M100" s="724"/>
      <c r="N100" s="724"/>
      <c r="O100" s="18"/>
      <c r="P100" s="18"/>
    </row>
    <row r="101" spans="2:16" ht="12.75" customHeight="1">
      <c r="B101" s="903"/>
      <c r="C101" s="17"/>
      <c r="D101" s="102"/>
      <c r="E101" s="100"/>
      <c r="F101" s="190" t="s">
        <v>427</v>
      </c>
      <c r="G101" s="834" t="str">
        <f>Translations!$B$378</f>
        <v>Nome:</v>
      </c>
      <c r="H101" s="835"/>
      <c r="I101" s="836"/>
      <c r="J101" s="843"/>
      <c r="K101" s="844"/>
      <c r="L101" s="844"/>
      <c r="M101" s="844"/>
      <c r="N101" s="844"/>
      <c r="O101" s="18"/>
      <c r="P101" s="18"/>
    </row>
    <row r="102" spans="2:16" ht="12.75" customHeight="1">
      <c r="B102" s="903"/>
      <c r="C102" s="17"/>
      <c r="D102" s="102"/>
      <c r="E102" s="100"/>
      <c r="F102" s="190" t="s">
        <v>428</v>
      </c>
      <c r="G102" s="820" t="str">
        <f>Translations!$B$371</f>
        <v>Indirizzo di posta elettronica:</v>
      </c>
      <c r="H102" s="821"/>
      <c r="I102" s="822"/>
      <c r="J102" s="841"/>
      <c r="K102" s="842"/>
      <c r="L102" s="842"/>
      <c r="M102" s="842"/>
      <c r="N102" s="842"/>
      <c r="O102" s="18"/>
      <c r="P102" s="18"/>
    </row>
    <row r="103" spans="2:16" ht="12.75" customHeight="1">
      <c r="B103" s="903"/>
      <c r="C103" s="17"/>
      <c r="D103" s="102"/>
      <c r="E103" s="100"/>
      <c r="F103" s="190" t="s">
        <v>429</v>
      </c>
      <c r="G103" s="820" t="str">
        <f>Translations!$B$372</f>
        <v>Telefono:</v>
      </c>
      <c r="H103" s="821"/>
      <c r="I103" s="822"/>
      <c r="J103" s="841"/>
      <c r="K103" s="842"/>
      <c r="L103" s="842"/>
      <c r="M103" s="842"/>
      <c r="N103" s="842"/>
      <c r="O103" s="18"/>
      <c r="P103" s="18"/>
    </row>
    <row r="104" spans="2:16" ht="12.75" customHeight="1">
      <c r="B104" s="903"/>
      <c r="C104" s="17"/>
      <c r="D104" s="102"/>
      <c r="E104" s="100"/>
      <c r="F104" s="190" t="s">
        <v>208</v>
      </c>
      <c r="G104" s="849" t="str">
        <f>Translations!$B$373</f>
        <v>Fax:</v>
      </c>
      <c r="H104" s="850"/>
      <c r="I104" s="851"/>
      <c r="J104" s="847"/>
      <c r="K104" s="848"/>
      <c r="L104" s="848"/>
      <c r="M104" s="848"/>
      <c r="N104" s="848"/>
      <c r="O104" s="18"/>
      <c r="P104" s="18"/>
    </row>
    <row r="105" spans="2:17" ht="4.5" customHeight="1">
      <c r="B105" s="903"/>
      <c r="C105" s="17"/>
      <c r="D105" s="5"/>
      <c r="E105" s="5"/>
      <c r="F105" s="5"/>
      <c r="G105" s="5"/>
      <c r="H105" s="5"/>
      <c r="I105" s="5"/>
      <c r="J105" s="5"/>
      <c r="K105" s="5"/>
      <c r="L105" s="5"/>
      <c r="M105" s="9"/>
      <c r="N105" s="9"/>
      <c r="O105" s="9"/>
      <c r="P105" s="9"/>
      <c r="Q105" s="339"/>
    </row>
    <row r="106" spans="2:16" ht="12.75" customHeight="1">
      <c r="B106" s="903"/>
      <c r="C106" s="17"/>
      <c r="D106" s="99" t="s">
        <v>249</v>
      </c>
      <c r="E106" s="837" t="str">
        <f>Translations!$B$379</f>
        <v>Referente alternativo:</v>
      </c>
      <c r="F106" s="724"/>
      <c r="G106" s="724"/>
      <c r="H106" s="724"/>
      <c r="I106" s="724"/>
      <c r="J106" s="724"/>
      <c r="K106" s="724"/>
      <c r="L106" s="724"/>
      <c r="M106" s="724"/>
      <c r="N106" s="724"/>
      <c r="O106" s="18"/>
      <c r="P106" s="18"/>
    </row>
    <row r="107" spans="2:16" ht="12.75" customHeight="1">
      <c r="B107" s="903"/>
      <c r="C107" s="17"/>
      <c r="D107" s="102"/>
      <c r="E107" s="100"/>
      <c r="F107" s="190" t="s">
        <v>427</v>
      </c>
      <c r="G107" s="834" t="str">
        <f>Translations!$B$378</f>
        <v>Nome:</v>
      </c>
      <c r="H107" s="835"/>
      <c r="I107" s="836"/>
      <c r="J107" s="845"/>
      <c r="K107" s="846"/>
      <c r="L107" s="846"/>
      <c r="M107" s="846"/>
      <c r="N107" s="846"/>
      <c r="O107" s="18"/>
      <c r="P107" s="18"/>
    </row>
    <row r="108" spans="2:16" ht="12.75" customHeight="1">
      <c r="B108" s="903"/>
      <c r="C108" s="17"/>
      <c r="D108" s="102"/>
      <c r="E108" s="100"/>
      <c r="F108" s="190" t="s">
        <v>428</v>
      </c>
      <c r="G108" s="820" t="str">
        <f>Translations!$B$371</f>
        <v>Indirizzo di posta elettronica:</v>
      </c>
      <c r="H108" s="821"/>
      <c r="I108" s="822"/>
      <c r="J108" s="857"/>
      <c r="K108" s="858"/>
      <c r="L108" s="858"/>
      <c r="M108" s="858"/>
      <c r="N108" s="858"/>
      <c r="O108" s="18"/>
      <c r="P108" s="18"/>
    </row>
    <row r="109" spans="2:16" ht="12.75" customHeight="1">
      <c r="B109" s="903"/>
      <c r="C109" s="17"/>
      <c r="D109" s="102"/>
      <c r="E109" s="100"/>
      <c r="F109" s="190" t="s">
        <v>429</v>
      </c>
      <c r="G109" s="820" t="str">
        <f>Translations!$B$372</f>
        <v>Telefono:</v>
      </c>
      <c r="H109" s="821"/>
      <c r="I109" s="822"/>
      <c r="J109" s="857"/>
      <c r="K109" s="858"/>
      <c r="L109" s="858"/>
      <c r="M109" s="858"/>
      <c r="N109" s="858"/>
      <c r="O109" s="18"/>
      <c r="P109" s="18"/>
    </row>
    <row r="110" spans="2:16" ht="12.75" customHeight="1">
      <c r="B110" s="903"/>
      <c r="C110" s="17"/>
      <c r="D110" s="102"/>
      <c r="E110" s="100"/>
      <c r="F110" s="190" t="s">
        <v>208</v>
      </c>
      <c r="G110" s="849" t="str">
        <f>Translations!$B$373</f>
        <v>Fax:</v>
      </c>
      <c r="H110" s="850"/>
      <c r="I110" s="851"/>
      <c r="J110" s="847"/>
      <c r="K110" s="848"/>
      <c r="L110" s="848"/>
      <c r="M110" s="848"/>
      <c r="N110" s="848"/>
      <c r="O110" s="18"/>
      <c r="P110" s="18"/>
    </row>
    <row r="111" spans="2:17" ht="12.75" customHeight="1">
      <c r="B111" s="5"/>
      <c r="C111" s="5"/>
      <c r="D111" s="5"/>
      <c r="E111" s="5"/>
      <c r="F111" s="5"/>
      <c r="G111" s="5"/>
      <c r="H111" s="5"/>
      <c r="I111" s="5"/>
      <c r="J111" s="5"/>
      <c r="K111" s="5"/>
      <c r="L111" s="5"/>
      <c r="M111" s="9"/>
      <c r="N111" s="9"/>
      <c r="O111" s="9"/>
      <c r="P111" s="9"/>
      <c r="Q111" s="339"/>
    </row>
    <row r="112" spans="2:16" ht="15">
      <c r="B112" s="903"/>
      <c r="C112" s="16">
        <v>3</v>
      </c>
      <c r="D112" s="840" t="str">
        <f>Translations!$B$391</f>
        <v>Ulteriori dati dell'impianto:</v>
      </c>
      <c r="E112" s="724"/>
      <c r="F112" s="724"/>
      <c r="G112" s="724"/>
      <c r="H112" s="724"/>
      <c r="I112" s="724"/>
      <c r="J112" s="724"/>
      <c r="K112" s="724"/>
      <c r="L112" s="724"/>
      <c r="M112" s="724"/>
      <c r="N112" s="724"/>
      <c r="O112" s="18"/>
      <c r="P112" s="18"/>
    </row>
    <row r="113" spans="2:17" ht="4.5" customHeight="1">
      <c r="B113" s="903"/>
      <c r="C113" s="5"/>
      <c r="D113" s="5"/>
      <c r="E113" s="5"/>
      <c r="F113" s="5"/>
      <c r="G113" s="5"/>
      <c r="H113" s="5"/>
      <c r="I113" s="5"/>
      <c r="J113" s="5"/>
      <c r="K113" s="5"/>
      <c r="L113" s="5"/>
      <c r="M113" s="9"/>
      <c r="N113" s="9"/>
      <c r="O113" s="9"/>
      <c r="P113" s="9"/>
      <c r="Q113" s="339"/>
    </row>
    <row r="114" spans="2:16" ht="15" customHeight="1">
      <c r="B114" s="903"/>
      <c r="C114" s="3"/>
      <c r="D114" s="99" t="s">
        <v>462</v>
      </c>
      <c r="E114" s="728" t="str">
        <f>Translations!$B$392</f>
        <v>Attività di cui all'allegato I della direttiva sul sistema ETS dell'UE:</v>
      </c>
      <c r="F114" s="724"/>
      <c r="G114" s="724"/>
      <c r="H114" s="724"/>
      <c r="I114" s="724"/>
      <c r="J114" s="724"/>
      <c r="K114" s="724"/>
      <c r="L114" s="724"/>
      <c r="M114" s="724"/>
      <c r="N114" s="724"/>
      <c r="O114" s="18"/>
      <c r="P114" s="18"/>
    </row>
    <row r="115" spans="2:16" ht="12.75" customHeight="1">
      <c r="B115" s="903"/>
      <c r="C115" s="17"/>
      <c r="D115" s="15"/>
      <c r="E115" s="784" t="str">
        <f>Translations!$B$393</f>
        <v>Per quanto possibile, ordinare l'elenco relativo alle emissioni dirette iniziando con l'attività che provoca le emissioni dirette più elevate.</v>
      </c>
      <c r="F115" s="724"/>
      <c r="G115" s="724"/>
      <c r="H115" s="724"/>
      <c r="I115" s="724"/>
      <c r="J115" s="724"/>
      <c r="K115" s="724"/>
      <c r="L115" s="724"/>
      <c r="M115" s="724"/>
      <c r="N115" s="724"/>
      <c r="O115" s="18"/>
      <c r="P115" s="18"/>
    </row>
    <row r="116" spans="2:17" ht="13.5" customHeight="1" thickBot="1">
      <c r="B116" s="903"/>
      <c r="C116" s="17"/>
      <c r="D116" s="102"/>
      <c r="E116" s="103" t="str">
        <f>Translations!$B$394</f>
        <v>Numero</v>
      </c>
      <c r="F116" s="104" t="str">
        <f>Translations!$B$395</f>
        <v>Nome dell'attività (allegato I della direttiva sul sistema ETS)</v>
      </c>
      <c r="G116" s="105"/>
      <c r="H116" s="106"/>
      <c r="I116" s="106"/>
      <c r="J116" s="107"/>
      <c r="K116" s="107"/>
      <c r="L116" s="107"/>
      <c r="M116" s="20"/>
      <c r="N116" s="20"/>
      <c r="O116" s="18"/>
      <c r="P116" s="18"/>
      <c r="Q116" s="333" t="s">
        <v>409</v>
      </c>
    </row>
    <row r="117" spans="2:17" ht="24.75" customHeight="1">
      <c r="B117" s="903"/>
      <c r="C117" s="17"/>
      <c r="D117" s="102"/>
      <c r="E117" s="378">
        <v>1</v>
      </c>
      <c r="F117" s="855"/>
      <c r="G117" s="856"/>
      <c r="H117" s="856"/>
      <c r="I117" s="856"/>
      <c r="J117" s="856"/>
      <c r="K117" s="856"/>
      <c r="L117" s="856"/>
      <c r="M117" s="856"/>
      <c r="N117" s="856"/>
      <c r="O117" s="18"/>
      <c r="P117" s="18"/>
      <c r="Q117" s="349">
        <f>IF(ISBLANK(F117),"",MATCH(F117,EUconst_AnnexIActivities,0))</f>
      </c>
    </row>
    <row r="118" spans="2:17" ht="25.5" customHeight="1">
      <c r="B118" s="903"/>
      <c r="C118" s="17"/>
      <c r="D118" s="102"/>
      <c r="E118" s="379">
        <f>E117+1</f>
        <v>2</v>
      </c>
      <c r="F118" s="853"/>
      <c r="G118" s="854"/>
      <c r="H118" s="854"/>
      <c r="I118" s="854"/>
      <c r="J118" s="854"/>
      <c r="K118" s="854"/>
      <c r="L118" s="854"/>
      <c r="M118" s="854"/>
      <c r="N118" s="854"/>
      <c r="O118" s="18"/>
      <c r="P118" s="18"/>
      <c r="Q118" s="350">
        <f>IF(ISBLANK(F118),"",MATCH(F118,EUconst_AnnexIActivities,0))</f>
      </c>
    </row>
    <row r="119" spans="2:17" ht="24.75" customHeight="1">
      <c r="B119" s="903"/>
      <c r="C119" s="17"/>
      <c r="D119" s="102"/>
      <c r="E119" s="379">
        <f>E118+1</f>
        <v>3</v>
      </c>
      <c r="F119" s="853"/>
      <c r="G119" s="854"/>
      <c r="H119" s="854"/>
      <c r="I119" s="854"/>
      <c r="J119" s="854"/>
      <c r="K119" s="854"/>
      <c r="L119" s="854"/>
      <c r="M119" s="854"/>
      <c r="N119" s="854"/>
      <c r="O119" s="18"/>
      <c r="P119" s="18"/>
      <c r="Q119" s="350">
        <f>IF(ISBLANK(F119),"",MATCH(F119,EUconst_AnnexIActivities,0))</f>
      </c>
    </row>
    <row r="120" spans="2:17" ht="25.5" customHeight="1">
      <c r="B120" s="903"/>
      <c r="C120" s="17"/>
      <c r="D120" s="102"/>
      <c r="E120" s="379">
        <f>E119+1</f>
        <v>4</v>
      </c>
      <c r="F120" s="853"/>
      <c r="G120" s="854"/>
      <c r="H120" s="854"/>
      <c r="I120" s="854"/>
      <c r="J120" s="854"/>
      <c r="K120" s="854"/>
      <c r="L120" s="854"/>
      <c r="M120" s="854"/>
      <c r="N120" s="854"/>
      <c r="O120" s="18"/>
      <c r="P120" s="18"/>
      <c r="Q120" s="350">
        <f>IF(ISBLANK(F120),"",MATCH(F120,EUconst_AnnexIActivities,0))</f>
      </c>
    </row>
    <row r="121" spans="2:17" ht="22.5" customHeight="1" thickBot="1">
      <c r="B121" s="903"/>
      <c r="C121" s="17"/>
      <c r="D121" s="102"/>
      <c r="E121" s="380">
        <f>E120+1</f>
        <v>5</v>
      </c>
      <c r="F121" s="832"/>
      <c r="G121" s="833"/>
      <c r="H121" s="833"/>
      <c r="I121" s="833"/>
      <c r="J121" s="833"/>
      <c r="K121" s="833"/>
      <c r="L121" s="833"/>
      <c r="M121" s="833"/>
      <c r="N121" s="833"/>
      <c r="O121" s="18"/>
      <c r="P121" s="18"/>
      <c r="Q121" s="351">
        <f>IF(ISBLANK(F121),"",MATCH(F121,EUconst_AnnexIActivities,0))</f>
      </c>
    </row>
    <row r="122" spans="2:16" ht="12.75" customHeight="1">
      <c r="B122" s="903"/>
      <c r="C122" s="17"/>
      <c r="D122" s="102"/>
      <c r="E122" s="100"/>
      <c r="F122" s="15"/>
      <c r="G122" s="15"/>
      <c r="H122" s="9"/>
      <c r="I122" s="9"/>
      <c r="J122" s="101"/>
      <c r="K122" s="101"/>
      <c r="L122" s="101"/>
      <c r="M122" s="18"/>
      <c r="N122" s="18"/>
      <c r="O122" s="18"/>
      <c r="P122" s="18"/>
    </row>
    <row r="123" spans="2:16" ht="12.75" customHeight="1">
      <c r="B123" s="903"/>
      <c r="C123" s="17"/>
      <c r="D123" s="99" t="s">
        <v>249</v>
      </c>
      <c r="E123" s="728" t="str">
        <f>Translations!$B$396</f>
        <v>Con quale codice NACE la propria impresa ha denunciato il valore aggiunto per le statistiche strutturali sulle imprese?</v>
      </c>
      <c r="F123" s="724"/>
      <c r="G123" s="724"/>
      <c r="H123" s="724"/>
      <c r="I123" s="724"/>
      <c r="J123" s="724"/>
      <c r="K123" s="724"/>
      <c r="L123" s="724"/>
      <c r="M123" s="724"/>
      <c r="N123" s="724"/>
      <c r="O123" s="18"/>
      <c r="P123" s="18"/>
    </row>
    <row r="124" spans="2:16" ht="13.5" customHeight="1">
      <c r="B124" s="903"/>
      <c r="C124" s="17"/>
      <c r="D124" s="15"/>
      <c r="E124" s="784" t="str">
        <f>Translations!$B$397</f>
        <v>Se non si è sicuri dei valori da inserire qui, rivolgersi al proprio istituto nazionale di statistica competente.</v>
      </c>
      <c r="F124" s="724"/>
      <c r="G124" s="724"/>
      <c r="H124" s="724"/>
      <c r="I124" s="724"/>
      <c r="J124" s="724"/>
      <c r="K124" s="724"/>
      <c r="L124" s="724"/>
      <c r="M124" s="724"/>
      <c r="N124" s="724"/>
      <c r="O124" s="18"/>
      <c r="P124" s="18"/>
    </row>
    <row r="125" spans="2:16" ht="12.75" customHeight="1">
      <c r="B125" s="903"/>
      <c r="C125" s="17"/>
      <c r="D125" s="15"/>
      <c r="E125" s="784" t="str">
        <f>Translations!$B$398</f>
        <v>NACE Rev. 1.1 è disponibile all'indirizzo: </v>
      </c>
      <c r="F125" s="724"/>
      <c r="G125" s="724"/>
      <c r="H125" s="724"/>
      <c r="I125" s="724"/>
      <c r="J125" s="724"/>
      <c r="K125" s="724"/>
      <c r="L125" s="724"/>
      <c r="M125" s="724"/>
      <c r="N125" s="724"/>
      <c r="O125" s="18"/>
      <c r="P125" s="18"/>
    </row>
    <row r="126" spans="2:16" ht="12.75" customHeight="1">
      <c r="B126" s="903"/>
      <c r="C126" s="17"/>
      <c r="D126" s="15"/>
      <c r="E126" s="899" t="str">
        <f>Translations!$B$399</f>
        <v>http://ec.europa.eu/eurostat/ramon/nomenclatures/index.cfm?TargetUrl=LST_CLS_DLD&amp;StrNom=NACE_1_1&amp;StrLanguageCode=EN&amp;StrLayoutCode=HIERARCHIC</v>
      </c>
      <c r="F126" s="899"/>
      <c r="G126" s="899"/>
      <c r="H126" s="899"/>
      <c r="I126" s="899"/>
      <c r="J126" s="899"/>
      <c r="K126" s="899"/>
      <c r="L126" s="899"/>
      <c r="M126" s="899"/>
      <c r="N126" s="899"/>
      <c r="O126" s="18"/>
      <c r="P126" s="18"/>
    </row>
    <row r="127" spans="2:16" ht="12.75" customHeight="1">
      <c r="B127" s="903"/>
      <c r="C127" s="17"/>
      <c r="D127" s="15"/>
      <c r="E127" s="784" t="str">
        <f>Translations!$B$400</f>
        <v>NACE Rev. 2.0 è disponibile all'indirizzo: </v>
      </c>
      <c r="F127" s="724"/>
      <c r="G127" s="724"/>
      <c r="H127" s="724"/>
      <c r="I127" s="724"/>
      <c r="J127" s="724"/>
      <c r="K127" s="724"/>
      <c r="L127" s="724"/>
      <c r="M127" s="724"/>
      <c r="N127" s="724"/>
      <c r="O127" s="18"/>
      <c r="P127" s="18"/>
    </row>
    <row r="128" spans="2:16" ht="12.75" customHeight="1">
      <c r="B128" s="903"/>
      <c r="C128" s="17"/>
      <c r="D128" s="15"/>
      <c r="E128" s="899" t="str">
        <f>Translations!$B$401</f>
        <v>http://ec.europa.eu/eurostat/ramon/nomenclatures/index.cfm?TargetUrl=LST_CLS_DLD&amp;StrNom=NACE_REV2&amp;StrLanguageCode=EN&amp;StrLayoutCode=HIERARCHIC</v>
      </c>
      <c r="F128" s="899"/>
      <c r="G128" s="899"/>
      <c r="H128" s="899"/>
      <c r="I128" s="899"/>
      <c r="J128" s="899"/>
      <c r="K128" s="899"/>
      <c r="L128" s="899"/>
      <c r="M128" s="899"/>
      <c r="N128" s="899"/>
      <c r="O128" s="18"/>
      <c r="P128" s="18"/>
    </row>
    <row r="129" spans="2:16" ht="12.75" customHeight="1">
      <c r="B129" s="903"/>
      <c r="C129" s="17"/>
      <c r="D129" s="15"/>
      <c r="E129" s="914" t="str">
        <f>Translations!$B$402</f>
        <v>I codici NACE devono essere inseriti a livello di 4 cifre, nella forma "nnnn", ossia senza punti o altri delimitatori.</v>
      </c>
      <c r="F129" s="915"/>
      <c r="G129" s="915"/>
      <c r="H129" s="915"/>
      <c r="I129" s="915"/>
      <c r="J129" s="915"/>
      <c r="K129" s="915"/>
      <c r="L129" s="915"/>
      <c r="M129" s="915"/>
      <c r="N129" s="915"/>
      <c r="O129" s="18"/>
      <c r="P129" s="18"/>
    </row>
    <row r="130" spans="2:16" ht="12.75" customHeight="1">
      <c r="B130" s="903"/>
      <c r="C130" s="17"/>
      <c r="D130" s="15"/>
      <c r="E130" s="784" t="str">
        <f>Translations!$B$403</f>
        <v>Se non si inseriscono esattamente 4 cifre compare un messaggio di errore.</v>
      </c>
      <c r="F130" s="724"/>
      <c r="G130" s="724"/>
      <c r="H130" s="724"/>
      <c r="I130" s="724"/>
      <c r="J130" s="724"/>
      <c r="K130" s="724"/>
      <c r="L130" s="724"/>
      <c r="M130" s="724"/>
      <c r="N130" s="724"/>
      <c r="O130" s="18"/>
      <c r="P130" s="18"/>
    </row>
    <row r="131" spans="2:16" ht="12.75" customHeight="1">
      <c r="B131" s="903"/>
      <c r="C131" s="17"/>
      <c r="D131" s="102"/>
      <c r="E131" s="188" t="s">
        <v>427</v>
      </c>
      <c r="F131" s="715" t="str">
        <f>Translations!$B$404</f>
        <v>Il codice NACE riportato per il 2007 utilizzando la classificazione NACE Rev 1.1:</v>
      </c>
      <c r="G131" s="724"/>
      <c r="H131" s="724"/>
      <c r="I131" s="724"/>
      <c r="J131" s="724"/>
      <c r="K131" s="808"/>
      <c r="L131" s="197"/>
      <c r="M131" s="18"/>
      <c r="N131" s="18"/>
      <c r="O131" s="18"/>
      <c r="P131" s="18"/>
    </row>
    <row r="132" spans="2:16" ht="12.75" customHeight="1">
      <c r="B132" s="903"/>
      <c r="C132" s="17"/>
      <c r="D132" s="102"/>
      <c r="E132" s="188" t="s">
        <v>428</v>
      </c>
      <c r="F132" s="715" t="str">
        <f>Translations!$B$405</f>
        <v>Il codice NACE riportato per il 2010 utilizzando la classificazione NACE Rev 2:</v>
      </c>
      <c r="G132" s="724"/>
      <c r="H132" s="724"/>
      <c r="I132" s="724"/>
      <c r="J132" s="724"/>
      <c r="K132" s="808"/>
      <c r="L132" s="197"/>
      <c r="M132" s="18"/>
      <c r="N132" s="18"/>
      <c r="O132" s="18"/>
      <c r="P132" s="18"/>
    </row>
    <row r="133" spans="2:16" ht="12.75" customHeight="1">
      <c r="B133" s="903"/>
      <c r="C133" s="17"/>
      <c r="D133" s="102"/>
      <c r="E133" s="100"/>
      <c r="F133" s="15"/>
      <c r="G133" s="15"/>
      <c r="H133" s="9"/>
      <c r="I133" s="9"/>
      <c r="J133" s="101"/>
      <c r="K133" s="101"/>
      <c r="L133" s="101"/>
      <c r="M133" s="18"/>
      <c r="N133" s="18"/>
      <c r="O133" s="18"/>
      <c r="P133" s="18"/>
    </row>
    <row r="134" spans="2:16" ht="12.75">
      <c r="B134" s="903"/>
      <c r="C134" s="18"/>
      <c r="D134" s="99" t="s">
        <v>458</v>
      </c>
      <c r="E134" s="728" t="str">
        <f>Translations!$B$406</f>
        <v>Fornire il codice identificativo dell'impianto nell'EPRTR, se applicabile:</v>
      </c>
      <c r="F134" s="724"/>
      <c r="G134" s="724"/>
      <c r="H134" s="724"/>
      <c r="I134" s="724"/>
      <c r="J134" s="724"/>
      <c r="K134" s="808"/>
      <c r="L134" s="900"/>
      <c r="M134" s="901"/>
      <c r="N134" s="902"/>
      <c r="O134" s="18"/>
      <c r="P134" s="18"/>
    </row>
    <row r="135" spans="2:16" ht="12.75">
      <c r="B135" s="903"/>
      <c r="C135" s="18"/>
      <c r="D135" s="15"/>
      <c r="E135" s="784" t="str">
        <f>Translations!$B$407</f>
        <v>L'EPRTR è il registro europeo delle emissioni e dei trasferimenti di sostanze inquinanti.</v>
      </c>
      <c r="F135" s="724"/>
      <c r="G135" s="724"/>
      <c r="H135" s="724"/>
      <c r="I135" s="724"/>
      <c r="J135" s="724"/>
      <c r="K135" s="724"/>
      <c r="L135" s="724"/>
      <c r="M135" s="724"/>
      <c r="N135" s="724"/>
      <c r="O135" s="18"/>
      <c r="P135" s="18"/>
    </row>
    <row r="136" spans="2:16" ht="12.75">
      <c r="B136" s="903"/>
      <c r="C136" s="18"/>
      <c r="D136" s="15"/>
      <c r="E136" s="784" t="str">
        <f>Translations!$B$408</f>
        <v>Questa informazione è importante per le autorità competenti per i controlli di coerenza e l'allineamento delle fonti di informazioni ambientali.</v>
      </c>
      <c r="F136" s="724"/>
      <c r="G136" s="724"/>
      <c r="H136" s="724"/>
      <c r="I136" s="724"/>
      <c r="J136" s="724"/>
      <c r="K136" s="724"/>
      <c r="L136" s="724"/>
      <c r="M136" s="724"/>
      <c r="N136" s="724"/>
      <c r="O136" s="18"/>
      <c r="P136" s="18"/>
    </row>
    <row r="137" spans="2:17" ht="4.5" customHeight="1">
      <c r="B137" s="903"/>
      <c r="C137" s="5"/>
      <c r="D137" s="5"/>
      <c r="E137" s="5"/>
      <c r="F137" s="5"/>
      <c r="G137" s="5"/>
      <c r="H137" s="5"/>
      <c r="I137" s="5"/>
      <c r="J137" s="5"/>
      <c r="K137" s="5"/>
      <c r="L137" s="5"/>
      <c r="M137" s="9"/>
      <c r="N137" s="9"/>
      <c r="O137" s="9"/>
      <c r="P137" s="9"/>
      <c r="Q137" s="339"/>
    </row>
    <row r="138" spans="2:16" ht="12.75">
      <c r="B138" s="18"/>
      <c r="C138" s="18"/>
      <c r="D138" s="14" t="s">
        <v>130</v>
      </c>
      <c r="E138" s="728" t="str">
        <f>Translations!$B$422</f>
        <v>Impianti che sono in servizio solo occasionalmente:</v>
      </c>
      <c r="F138" s="724"/>
      <c r="G138" s="724"/>
      <c r="H138" s="724"/>
      <c r="I138" s="724"/>
      <c r="J138" s="724"/>
      <c r="K138" s="724"/>
      <c r="L138" s="724"/>
      <c r="M138" s="724"/>
      <c r="N138" s="724"/>
      <c r="O138" s="18"/>
      <c r="P138" s="18"/>
    </row>
    <row r="139" spans="2:16" ht="12.75">
      <c r="B139" s="18"/>
      <c r="C139" s="18"/>
      <c r="D139" s="18"/>
      <c r="E139" s="784" t="str">
        <f>Translations!$B$423</f>
        <v>Sono compresi in particolare gli impianti di riserva o di emergenza e gli impianti che funzionano in base a un calendario stagionale (articolo 9, paragrafo 8, delle CIM).</v>
      </c>
      <c r="F139" s="724"/>
      <c r="G139" s="724"/>
      <c r="H139" s="724"/>
      <c r="I139" s="724"/>
      <c r="J139" s="724"/>
      <c r="K139" s="724"/>
      <c r="L139" s="724"/>
      <c r="M139" s="724"/>
      <c r="N139" s="724"/>
      <c r="O139" s="18"/>
      <c r="P139" s="18"/>
    </row>
    <row r="140" spans="2:16" ht="12.75">
      <c r="B140" s="18"/>
      <c r="C140" s="18"/>
      <c r="D140" s="18"/>
      <c r="E140" s="784" t="str">
        <f>Translations!$B$424</f>
        <v>Condizioni:</v>
      </c>
      <c r="F140" s="724"/>
      <c r="G140" s="724"/>
      <c r="H140" s="724"/>
      <c r="I140" s="724"/>
      <c r="J140" s="724"/>
      <c r="K140" s="724"/>
      <c r="L140" s="724"/>
      <c r="M140" s="724"/>
      <c r="N140" s="724"/>
      <c r="O140" s="18"/>
      <c r="P140" s="18"/>
    </row>
    <row r="141" spans="2:16" ht="25.5" customHeight="1">
      <c r="B141" s="18"/>
      <c r="C141" s="18"/>
      <c r="D141" s="18"/>
      <c r="E141" s="67" t="s">
        <v>291</v>
      </c>
      <c r="F141" s="787" t="str">
        <f>Translations!$B$425</f>
        <v>è stato chiaramente dimostrato che l’impianto è utilizzato occasionalmente, in particolare è utilizzato regolarmente in quanto capacità di emergenza o di riserva o utilizzato regolarmente secondo un calendario stagionale;</v>
      </c>
      <c r="G141" s="787"/>
      <c r="H141" s="787"/>
      <c r="I141" s="787"/>
      <c r="J141" s="787"/>
      <c r="K141" s="787"/>
      <c r="L141" s="787"/>
      <c r="M141" s="787"/>
      <c r="N141" s="787"/>
      <c r="O141" s="18"/>
      <c r="P141" s="18"/>
    </row>
    <row r="142" spans="2:16" ht="25.5" customHeight="1">
      <c r="B142" s="18"/>
      <c r="C142" s="18"/>
      <c r="D142" s="18"/>
      <c r="E142" s="67" t="s">
        <v>291</v>
      </c>
      <c r="F142" s="787" t="str">
        <f>Translations!$B$426</f>
        <v>l’impianto beneficia di un’autorizzazione ad emettere gas a effetto serra e di tutte le altre autorizzazioni pertinenti richieste dall’ordinamento giuridico nazionale dello Stato membro interessato;</v>
      </c>
      <c r="G142" s="787"/>
      <c r="H142" s="787"/>
      <c r="I142" s="787"/>
      <c r="J142" s="787"/>
      <c r="K142" s="787"/>
      <c r="L142" s="787"/>
      <c r="M142" s="787"/>
      <c r="N142" s="787"/>
      <c r="O142" s="18"/>
      <c r="P142" s="18"/>
    </row>
    <row r="143" spans="2:16" ht="12.75">
      <c r="B143" s="18"/>
      <c r="C143" s="18"/>
      <c r="D143" s="18"/>
      <c r="E143" s="67" t="s">
        <v>291</v>
      </c>
      <c r="F143" s="787" t="str">
        <f>Translations!$B$427</f>
        <v>è tecnicamente possibile mettere in funzione l’impianto con un breve preavviso e la manutenzione è effettuata periodicamente.</v>
      </c>
      <c r="G143" s="787"/>
      <c r="H143" s="787"/>
      <c r="I143" s="787"/>
      <c r="J143" s="787"/>
      <c r="K143" s="787"/>
      <c r="L143" s="787"/>
      <c r="M143" s="787"/>
      <c r="N143" s="787"/>
      <c r="O143" s="18"/>
      <c r="P143" s="18"/>
    </row>
    <row r="144" spans="2:16" ht="12.75">
      <c r="B144" s="18"/>
      <c r="C144" s="18"/>
      <c r="D144" s="18"/>
      <c r="E144" s="728" t="str">
        <f>Translations!$B$428</f>
        <v>Confermare qui se l'impianto soddisfa questi criteri:</v>
      </c>
      <c r="F144" s="724"/>
      <c r="G144" s="724"/>
      <c r="H144" s="724"/>
      <c r="I144" s="724"/>
      <c r="J144" s="724"/>
      <c r="K144" s="724"/>
      <c r="L144" s="904"/>
      <c r="M144" s="905"/>
      <c r="N144" s="375">
        <f>IF(CNTR_HasEntries_A_II,IF(L144="",EUconst_Incomplete,""),"")</f>
      </c>
      <c r="O144" s="18"/>
      <c r="P144" s="18"/>
    </row>
    <row r="145" spans="2:16" ht="12.75">
      <c r="B145" s="18"/>
      <c r="C145" s="18"/>
      <c r="D145" s="102"/>
      <c r="E145" s="100"/>
      <c r="F145" s="15"/>
      <c r="G145" s="15"/>
      <c r="H145" s="9"/>
      <c r="I145" s="9"/>
      <c r="J145" s="101"/>
      <c r="K145" s="101"/>
      <c r="L145" s="101"/>
      <c r="M145" s="18"/>
      <c r="N145" s="18"/>
      <c r="O145" s="18"/>
      <c r="P145" s="18"/>
    </row>
    <row r="146" spans="2:16" ht="12.75">
      <c r="B146" s="18"/>
      <c r="C146" s="18"/>
      <c r="D146" s="18"/>
      <c r="E146" s="18"/>
      <c r="F146" s="18"/>
      <c r="G146" s="18"/>
      <c r="H146" s="18"/>
      <c r="I146" s="18"/>
      <c r="J146" s="18"/>
      <c r="K146" s="18"/>
      <c r="L146" s="18"/>
      <c r="M146" s="18"/>
      <c r="N146" s="18"/>
      <c r="O146" s="18"/>
      <c r="P146" s="18"/>
    </row>
    <row r="147" spans="1:26" s="523" customFormat="1" ht="18" customHeight="1">
      <c r="A147" s="4"/>
      <c r="B147" s="208"/>
      <c r="C147" s="315" t="s">
        <v>131</v>
      </c>
      <c r="D147" s="331" t="str">
        <f>Translations!$B$442</f>
        <v>Elenco dei collegamenti tecnici</v>
      </c>
      <c r="E147" s="331"/>
      <c r="F147" s="331"/>
      <c r="G147" s="331"/>
      <c r="H147" s="331"/>
      <c r="I147" s="331"/>
      <c r="J147" s="331"/>
      <c r="K147" s="331"/>
      <c r="L147" s="331"/>
      <c r="M147" s="331"/>
      <c r="N147" s="331"/>
      <c r="O147" s="209"/>
      <c r="P147" s="209"/>
      <c r="Q147" s="362"/>
      <c r="R147" s="362"/>
      <c r="S147" s="362"/>
      <c r="T147" s="362"/>
      <c r="U147" s="362"/>
      <c r="V147" s="362"/>
      <c r="W147" s="362"/>
      <c r="X147" s="362"/>
      <c r="Y147" s="362"/>
      <c r="Z147" s="362"/>
    </row>
    <row r="148" spans="2:17" ht="4.5" customHeight="1">
      <c r="B148" s="5"/>
      <c r="C148" s="5"/>
      <c r="D148" s="5"/>
      <c r="E148" s="5"/>
      <c r="F148" s="5"/>
      <c r="G148" s="5"/>
      <c r="H148" s="5"/>
      <c r="I148" s="5"/>
      <c r="J148" s="5"/>
      <c r="K148" s="5"/>
      <c r="L148" s="5"/>
      <c r="M148" s="9"/>
      <c r="N148" s="9"/>
      <c r="O148" s="9"/>
      <c r="P148" s="9"/>
      <c r="Q148" s="339"/>
    </row>
    <row r="149" spans="2:16" ht="12.75">
      <c r="B149" s="18"/>
      <c r="C149" s="18"/>
      <c r="D149" s="99" t="s">
        <v>462</v>
      </c>
      <c r="E149" s="728" t="str">
        <f>Translations!$B$443</f>
        <v>Inserire qui le informazioni pertinenti per identificare i collegamenti tecnici all'impianto:</v>
      </c>
      <c r="F149" s="724"/>
      <c r="G149" s="724"/>
      <c r="H149" s="724"/>
      <c r="I149" s="724"/>
      <c r="J149" s="724"/>
      <c r="K149" s="724"/>
      <c r="L149" s="724"/>
      <c r="M149" s="724"/>
      <c r="N149" s="724"/>
      <c r="O149" s="18"/>
      <c r="P149" s="18"/>
    </row>
    <row r="150" spans="2:16" ht="24" customHeight="1">
      <c r="B150" s="18"/>
      <c r="C150" s="18"/>
      <c r="D150" s="108"/>
      <c r="E150" s="787" t="str">
        <f>Translations!$B$444</f>
        <v>Questa informazione è necessaria per l'autorità competente per garantire la congruenza dei dati forniti e per evitare il doppio conteggio dei dati per l'assegnazione di quote di emissioni.</v>
      </c>
      <c r="F150" s="723"/>
      <c r="G150" s="723"/>
      <c r="H150" s="723"/>
      <c r="I150" s="723"/>
      <c r="J150" s="723"/>
      <c r="K150" s="723"/>
      <c r="L150" s="723"/>
      <c r="M150" s="723"/>
      <c r="N150" s="723"/>
      <c r="O150" s="18"/>
      <c r="P150" s="18"/>
    </row>
    <row r="151" spans="2:16" ht="12.75">
      <c r="B151" s="18"/>
      <c r="C151" s="18"/>
      <c r="D151" s="108"/>
      <c r="E151" s="787" t="str">
        <f>Translations!$B$445</f>
        <v>Sono pertinenti soltanto i casi in cui il calore misurabile, i gas di scarico o il CO2 ai fini delle attività CCS superano i confini dell'impianto.</v>
      </c>
      <c r="F151" s="723"/>
      <c r="G151" s="723"/>
      <c r="H151" s="723"/>
      <c r="I151" s="723"/>
      <c r="J151" s="723"/>
      <c r="K151" s="723"/>
      <c r="L151" s="723"/>
      <c r="M151" s="723"/>
      <c r="N151" s="723"/>
      <c r="O151" s="18"/>
      <c r="P151" s="18"/>
    </row>
    <row r="152" spans="2:16" ht="22.5" customHeight="1">
      <c r="B152" s="18"/>
      <c r="C152" s="18"/>
      <c r="D152" s="108"/>
      <c r="E152" s="787" t="str">
        <f>Translations!$B$446</f>
        <v>Per "Importazione" si intende qui qualcosa che entra nell'impianto al quale questa comunicazione si riferisce, per "esportazione" si intende qualcosa che esce dai confini dell'impianto.</v>
      </c>
      <c r="F152" s="723"/>
      <c r="G152" s="723"/>
      <c r="H152" s="723"/>
      <c r="I152" s="723"/>
      <c r="J152" s="723"/>
      <c r="K152" s="723"/>
      <c r="L152" s="723"/>
      <c r="M152" s="723"/>
      <c r="N152" s="723"/>
      <c r="O152" s="18"/>
      <c r="P152" s="18"/>
    </row>
    <row r="153" spans="2:16" ht="12.75">
      <c r="B153" s="18"/>
      <c r="C153" s="18"/>
      <c r="D153" s="108"/>
      <c r="E153" s="787" t="str">
        <f>Translations!$B$447</f>
        <v>I flussi di materiale e/o di energia tra i sottoimpianti non sono pertinenti, ad eccezione del calore derivante dalla produzione di acido nitrico.</v>
      </c>
      <c r="F153" s="723"/>
      <c r="G153" s="723"/>
      <c r="H153" s="723"/>
      <c r="I153" s="723"/>
      <c r="J153" s="723"/>
      <c r="K153" s="723"/>
      <c r="L153" s="723"/>
      <c r="M153" s="723"/>
      <c r="N153" s="723"/>
      <c r="O153" s="18"/>
      <c r="P153" s="18"/>
    </row>
    <row r="154" spans="2:16" ht="12.75">
      <c r="B154" s="18"/>
      <c r="C154" s="18"/>
      <c r="D154" s="108"/>
      <c r="E154" s="787" t="str">
        <f>Translations!$B$448</f>
        <v>Nella colonna "Tipo di entità" possono essere selezionate le seguenti opzioni:</v>
      </c>
      <c r="F154" s="723"/>
      <c r="G154" s="723"/>
      <c r="H154" s="723"/>
      <c r="I154" s="723"/>
      <c r="J154" s="723"/>
      <c r="K154" s="723"/>
      <c r="L154" s="723"/>
      <c r="M154" s="723"/>
      <c r="N154" s="723"/>
      <c r="O154" s="18"/>
      <c r="P154" s="18"/>
    </row>
    <row r="155" spans="2:16" ht="12.75">
      <c r="B155" s="18"/>
      <c r="C155" s="18"/>
      <c r="D155" s="108"/>
      <c r="E155" s="67" t="s">
        <v>291</v>
      </c>
      <c r="F155" s="784" t="str">
        <f>Translations!$B$20</f>
        <v>Impianto rientrante nel sistema ETS</v>
      </c>
      <c r="G155" s="724"/>
      <c r="H155" s="724"/>
      <c r="I155" s="724"/>
      <c r="J155" s="724"/>
      <c r="K155" s="724"/>
      <c r="L155" s="724"/>
      <c r="M155" s="724"/>
      <c r="N155" s="724"/>
      <c r="O155" s="18"/>
      <c r="P155" s="18"/>
    </row>
    <row r="156" spans="2:16" ht="12.75">
      <c r="B156" s="18"/>
      <c r="C156" s="18"/>
      <c r="D156" s="108"/>
      <c r="E156" s="67" t="s">
        <v>291</v>
      </c>
      <c r="F156" s="784" t="str">
        <f>Translations!$B$21</f>
        <v>Impianto non rientrante nel sistema ETS</v>
      </c>
      <c r="G156" s="724"/>
      <c r="H156" s="724"/>
      <c r="I156" s="724"/>
      <c r="J156" s="724"/>
      <c r="K156" s="724"/>
      <c r="L156" s="724"/>
      <c r="M156" s="724"/>
      <c r="N156" s="724"/>
      <c r="O156" s="18"/>
      <c r="P156" s="18"/>
    </row>
    <row r="157" spans="2:16" ht="12.75">
      <c r="B157" s="18"/>
      <c r="C157" s="18"/>
      <c r="D157" s="108"/>
      <c r="E157" s="67" t="s">
        <v>291</v>
      </c>
      <c r="F157" s="784" t="str">
        <f>Translations!$B$22</f>
        <v>Impianto che produce acido nitrico</v>
      </c>
      <c r="G157" s="724"/>
      <c r="H157" s="724"/>
      <c r="I157" s="724"/>
      <c r="J157" s="724"/>
      <c r="K157" s="724"/>
      <c r="L157" s="724"/>
      <c r="M157" s="724"/>
      <c r="N157" s="724"/>
      <c r="O157" s="18"/>
      <c r="P157" s="18"/>
    </row>
    <row r="158" spans="2:16" ht="12.75">
      <c r="B158" s="18"/>
      <c r="C158" s="18"/>
      <c r="D158" s="108"/>
      <c r="E158" s="67" t="s">
        <v>291</v>
      </c>
      <c r="F158" s="784" t="str">
        <f>Translations!$B$23</f>
        <v>Rete di distribuzione di calore</v>
      </c>
      <c r="G158" s="724"/>
      <c r="H158" s="724"/>
      <c r="I158" s="724"/>
      <c r="J158" s="724"/>
      <c r="K158" s="724"/>
      <c r="L158" s="724"/>
      <c r="M158" s="724"/>
      <c r="N158" s="724"/>
      <c r="O158" s="18"/>
      <c r="P158" s="18"/>
    </row>
    <row r="159" spans="2:16" ht="12.75">
      <c r="B159" s="18"/>
      <c r="C159" s="18"/>
      <c r="D159" s="108"/>
      <c r="E159" s="813" t="str">
        <f>Translations!$B$449</f>
        <v>Caso speciale: produzione di acido nitrico:</v>
      </c>
      <c r="F159" s="778"/>
      <c r="G159" s="778"/>
      <c r="H159" s="778"/>
      <c r="I159" s="778"/>
      <c r="J159" s="778"/>
      <c r="K159" s="778"/>
      <c r="L159" s="778"/>
      <c r="M159" s="778"/>
      <c r="N159" s="778"/>
      <c r="O159" s="18"/>
      <c r="P159" s="18"/>
    </row>
    <row r="160" spans="2:16" ht="12.75">
      <c r="B160" s="18"/>
      <c r="C160" s="18"/>
      <c r="D160" s="108"/>
      <c r="E160" s="67" t="s">
        <v>291</v>
      </c>
      <c r="F160" s="784" t="str">
        <f>Translations!$B$450</f>
        <v>Selezionare questa opzione per indicare che l'impianto utilizza il calore derivante dalla produzione di acido nitrico.</v>
      </c>
      <c r="G160" s="724"/>
      <c r="H160" s="724"/>
      <c r="I160" s="724"/>
      <c r="J160" s="724"/>
      <c r="K160" s="724"/>
      <c r="L160" s="724"/>
      <c r="M160" s="724"/>
      <c r="N160" s="724"/>
      <c r="O160" s="18"/>
      <c r="P160" s="18"/>
    </row>
    <row r="161" spans="2:16" ht="24" customHeight="1">
      <c r="B161" s="18"/>
      <c r="C161" s="18"/>
      <c r="D161" s="108"/>
      <c r="E161" s="67" t="s">
        <v>291</v>
      </c>
      <c r="F161" s="784" t="str">
        <f>Translations!$B$451</f>
        <v>Indicare questo fatto anche se la produzione di acido nitrico avviene all'interno del proprio impianto e non soltanto se il proprio impianto è collegato all'impianto di produzione di acido nitrico.</v>
      </c>
      <c r="G161" s="724"/>
      <c r="H161" s="724"/>
      <c r="I161" s="724"/>
      <c r="J161" s="724"/>
      <c r="K161" s="724"/>
      <c r="L161" s="724"/>
      <c r="M161" s="724"/>
      <c r="N161" s="724"/>
      <c r="O161" s="18"/>
      <c r="P161" s="18"/>
    </row>
    <row r="162" spans="2:16" ht="12.75">
      <c r="B162" s="18"/>
      <c r="C162" s="18"/>
      <c r="D162" s="108"/>
      <c r="E162" s="67" t="s">
        <v>291</v>
      </c>
      <c r="F162" s="784" t="str">
        <f>Translations!$B$452</f>
        <v>Questa informazione è importante per il bilancio termico (foglio "E_EnergyFlows", sezione II)</v>
      </c>
      <c r="G162" s="724"/>
      <c r="H162" s="724"/>
      <c r="I162" s="724"/>
      <c r="J162" s="724"/>
      <c r="K162" s="724"/>
      <c r="L162" s="724"/>
      <c r="M162" s="724"/>
      <c r="N162" s="724"/>
      <c r="O162" s="18"/>
      <c r="P162" s="18"/>
    </row>
    <row r="163" spans="2:16" ht="12.75">
      <c r="B163" s="18"/>
      <c r="C163" s="18"/>
      <c r="D163" s="108"/>
      <c r="E163" s="787" t="str">
        <f>Translations!$B$453</f>
        <v>I tipi di opzioni di collegamento sono:</v>
      </c>
      <c r="F163" s="723"/>
      <c r="G163" s="723"/>
      <c r="H163" s="723"/>
      <c r="I163" s="723"/>
      <c r="J163" s="723"/>
      <c r="K163" s="723"/>
      <c r="L163" s="723"/>
      <c r="M163" s="723"/>
      <c r="N163" s="723"/>
      <c r="O163" s="18"/>
      <c r="P163" s="18"/>
    </row>
    <row r="164" spans="2:16" ht="12.75">
      <c r="B164" s="18"/>
      <c r="C164" s="18"/>
      <c r="D164" s="108"/>
      <c r="E164" s="67" t="s">
        <v>291</v>
      </c>
      <c r="F164" s="784" t="str">
        <f>Translations!$B$24</f>
        <v>Calore misurabile</v>
      </c>
      <c r="G164" s="724"/>
      <c r="H164" s="724"/>
      <c r="I164" s="724"/>
      <c r="J164" s="724"/>
      <c r="K164" s="724"/>
      <c r="L164" s="724"/>
      <c r="M164" s="724"/>
      <c r="N164" s="724"/>
      <c r="O164" s="18"/>
      <c r="P164" s="18"/>
    </row>
    <row r="165" spans="2:16" ht="12.75">
      <c r="B165" s="18"/>
      <c r="C165" s="18"/>
      <c r="D165" s="108"/>
      <c r="E165" s="67" t="s">
        <v>291</v>
      </c>
      <c r="F165" s="784" t="str">
        <f>Translations!$B$25</f>
        <v>Gas di scarico</v>
      </c>
      <c r="G165" s="724"/>
      <c r="H165" s="724"/>
      <c r="I165" s="724"/>
      <c r="J165" s="724"/>
      <c r="K165" s="724"/>
      <c r="L165" s="724"/>
      <c r="M165" s="724"/>
      <c r="N165" s="724"/>
      <c r="O165" s="18"/>
      <c r="P165" s="18"/>
    </row>
    <row r="166" spans="2:16" ht="12.75">
      <c r="B166" s="18"/>
      <c r="C166" s="18"/>
      <c r="D166" s="108"/>
      <c r="E166" s="67" t="s">
        <v>291</v>
      </c>
      <c r="F166" s="784" t="str">
        <f>Translations!$B$26</f>
        <v>CO2 trasferito (CCS)</v>
      </c>
      <c r="G166" s="724"/>
      <c r="H166" s="724"/>
      <c r="I166" s="724"/>
      <c r="J166" s="724"/>
      <c r="K166" s="724"/>
      <c r="L166" s="724"/>
      <c r="M166" s="724"/>
      <c r="N166" s="724"/>
      <c r="O166" s="18"/>
      <c r="P166" s="18"/>
    </row>
    <row r="167" spans="2:16" ht="12.75">
      <c r="B167" s="18"/>
      <c r="C167" s="18"/>
      <c r="D167" s="108"/>
      <c r="E167" s="787" t="str">
        <f>Translations!$B$454</f>
        <v>Le opzioni di direzione del flusso sono (prospettiva dell'impianto al quale questa comunicazione si riferisce):</v>
      </c>
      <c r="F167" s="723"/>
      <c r="G167" s="723"/>
      <c r="H167" s="723"/>
      <c r="I167" s="723"/>
      <c r="J167" s="723"/>
      <c r="K167" s="723"/>
      <c r="L167" s="723"/>
      <c r="M167" s="723"/>
      <c r="N167" s="723"/>
      <c r="O167" s="18"/>
      <c r="P167" s="18"/>
    </row>
    <row r="168" spans="2:16" ht="12.75">
      <c r="B168" s="18"/>
      <c r="C168" s="18"/>
      <c r="D168" s="108"/>
      <c r="E168" s="67" t="s">
        <v>291</v>
      </c>
      <c r="F168" s="784" t="str">
        <f>Translations!$B$455</f>
        <v>Importazione (verso questo impianto)</v>
      </c>
      <c r="G168" s="724"/>
      <c r="H168" s="724"/>
      <c r="I168" s="724"/>
      <c r="J168" s="724"/>
      <c r="K168" s="724"/>
      <c r="L168" s="724"/>
      <c r="M168" s="724"/>
      <c r="N168" s="724"/>
      <c r="O168" s="18"/>
      <c r="P168" s="18"/>
    </row>
    <row r="169" spans="2:16" ht="12.75">
      <c r="B169" s="18"/>
      <c r="C169" s="18"/>
      <c r="D169" s="108"/>
      <c r="E169" s="67" t="s">
        <v>291</v>
      </c>
      <c r="F169" s="784" t="str">
        <f>Translations!$B$456</f>
        <v>Esportazione (da questo impianto)</v>
      </c>
      <c r="G169" s="724"/>
      <c r="H169" s="724"/>
      <c r="I169" s="724"/>
      <c r="J169" s="724"/>
      <c r="K169" s="724"/>
      <c r="L169" s="724"/>
      <c r="M169" s="724"/>
      <c r="N169" s="724"/>
      <c r="O169" s="18"/>
      <c r="P169" s="18"/>
    </row>
    <row r="170" spans="2:17" ht="4.5" customHeight="1">
      <c r="B170" s="5"/>
      <c r="C170" s="5"/>
      <c r="D170" s="38"/>
      <c r="E170" s="5"/>
      <c r="F170" s="5"/>
      <c r="G170" s="5"/>
      <c r="H170" s="5"/>
      <c r="I170" s="5"/>
      <c r="J170" s="5"/>
      <c r="K170" s="5"/>
      <c r="L170" s="5"/>
      <c r="M170" s="9"/>
      <c r="N170" s="9"/>
      <c r="O170" s="9"/>
      <c r="P170" s="9"/>
      <c r="Q170" s="339"/>
    </row>
    <row r="171" spans="2:19" ht="13.5" thickBot="1">
      <c r="B171" s="18"/>
      <c r="C171" s="18"/>
      <c r="D171" s="29"/>
      <c r="E171" s="203" t="str">
        <f>Translations!$B$432</f>
        <v>N.</v>
      </c>
      <c r="F171" s="791" t="str">
        <f>Translations!$B$457</f>
        <v>Nome dell'impianto o dell'entità</v>
      </c>
      <c r="G171" s="792"/>
      <c r="H171" s="793"/>
      <c r="I171" s="791" t="str">
        <f>Translations!$B$458</f>
        <v>Tipo di entità</v>
      </c>
      <c r="J171" s="793"/>
      <c r="K171" s="791" t="str">
        <f>Translations!$B$459</f>
        <v>Tipo di collegamento</v>
      </c>
      <c r="L171" s="793"/>
      <c r="M171" s="791" t="str">
        <f>Translations!$B$460</f>
        <v>Direzione del flusso</v>
      </c>
      <c r="N171" s="792"/>
      <c r="O171" s="18"/>
      <c r="P171" s="18"/>
      <c r="Q171" s="345"/>
      <c r="R171" s="345" t="s">
        <v>497</v>
      </c>
      <c r="S171" s="355" t="s">
        <v>140</v>
      </c>
    </row>
    <row r="172" spans="2:19" ht="12.75">
      <c r="B172" s="18"/>
      <c r="C172" s="18"/>
      <c r="D172" s="29"/>
      <c r="E172" s="30">
        <v>1</v>
      </c>
      <c r="F172" s="894"/>
      <c r="G172" s="895"/>
      <c r="H172" s="896"/>
      <c r="I172" s="890"/>
      <c r="J172" s="891"/>
      <c r="K172" s="890"/>
      <c r="L172" s="896"/>
      <c r="M172" s="897"/>
      <c r="N172" s="898"/>
      <c r="O172" s="18"/>
      <c r="P172" s="18"/>
      <c r="Q172" s="345"/>
      <c r="R172" s="352">
        <f>IF(NOT(ISBLANK(F172)),COUNTA($F$172:$F172),"")</f>
      </c>
      <c r="S172" s="352">
        <f>IF(ISBLANK(I172),"",OR(MATCH(I172,EUconst_ConnectedEntityTypes,0)=1,MATCH(I172,EUconst_ConnectedEntityTypes,0)=3))</f>
      </c>
    </row>
    <row r="173" spans="2:19" ht="12.75">
      <c r="B173" s="18"/>
      <c r="C173" s="18"/>
      <c r="D173" s="29"/>
      <c r="E173" s="31">
        <f>E172+1</f>
        <v>2</v>
      </c>
      <c r="F173" s="864"/>
      <c r="G173" s="874"/>
      <c r="H173" s="868"/>
      <c r="I173" s="864"/>
      <c r="J173" s="865"/>
      <c r="K173" s="864"/>
      <c r="L173" s="868"/>
      <c r="M173" s="879"/>
      <c r="N173" s="880"/>
      <c r="O173" s="18"/>
      <c r="P173" s="18"/>
      <c r="Q173" s="345"/>
      <c r="R173" s="353">
        <f>IF(NOT(ISBLANK(F173)),COUNTA($F$172:$F173),"")</f>
      </c>
      <c r="S173" s="353">
        <f aca="true" t="shared" si="0" ref="S173:S181">IF(ISBLANK(I173),"",OR(MATCH(I173,EUconst_ConnectedEntityTypes,0)=1,MATCH(I173,EUconst_ConnectedEntityTypes,0)=3))</f>
      </c>
    </row>
    <row r="174" spans="2:19" ht="12.75">
      <c r="B174" s="18"/>
      <c r="C174" s="18"/>
      <c r="D174" s="29"/>
      <c r="E174" s="31">
        <f aca="true" t="shared" si="1" ref="E174:E181">E173+1</f>
        <v>3</v>
      </c>
      <c r="F174" s="864"/>
      <c r="G174" s="874"/>
      <c r="H174" s="868"/>
      <c r="I174" s="864"/>
      <c r="J174" s="865"/>
      <c r="K174" s="864"/>
      <c r="L174" s="868"/>
      <c r="M174" s="879"/>
      <c r="N174" s="880"/>
      <c r="O174" s="18"/>
      <c r="P174" s="18"/>
      <c r="Q174" s="345"/>
      <c r="R174" s="353">
        <f>IF(NOT(ISBLANK(F174)),COUNTA($F$172:$F174),"")</f>
      </c>
      <c r="S174" s="353">
        <f t="shared" si="0"/>
      </c>
    </row>
    <row r="175" spans="2:19" ht="12.75">
      <c r="B175" s="18"/>
      <c r="C175" s="18"/>
      <c r="D175" s="29"/>
      <c r="E175" s="31">
        <f t="shared" si="1"/>
        <v>4</v>
      </c>
      <c r="F175" s="864"/>
      <c r="G175" s="874"/>
      <c r="H175" s="868"/>
      <c r="I175" s="864"/>
      <c r="J175" s="865"/>
      <c r="K175" s="864"/>
      <c r="L175" s="868"/>
      <c r="M175" s="879"/>
      <c r="N175" s="880"/>
      <c r="O175" s="18"/>
      <c r="P175" s="18"/>
      <c r="Q175" s="345"/>
      <c r="R175" s="353">
        <f>IF(NOT(ISBLANK(F175)),COUNTA($F$172:$F175),"")</f>
      </c>
      <c r="S175" s="353">
        <f t="shared" si="0"/>
      </c>
    </row>
    <row r="176" spans="2:19" ht="12.75">
      <c r="B176" s="18"/>
      <c r="C176" s="18"/>
      <c r="D176" s="29"/>
      <c r="E176" s="31">
        <f t="shared" si="1"/>
        <v>5</v>
      </c>
      <c r="F176" s="864"/>
      <c r="G176" s="874"/>
      <c r="H176" s="868"/>
      <c r="I176" s="864"/>
      <c r="J176" s="865"/>
      <c r="K176" s="864"/>
      <c r="L176" s="868"/>
      <c r="M176" s="879"/>
      <c r="N176" s="880"/>
      <c r="O176" s="18"/>
      <c r="P176" s="18"/>
      <c r="Q176" s="345"/>
      <c r="R176" s="353">
        <f>IF(NOT(ISBLANK(F176)),COUNTA($F$172:$F176),"")</f>
      </c>
      <c r="S176" s="353">
        <f t="shared" si="0"/>
      </c>
    </row>
    <row r="177" spans="2:19" ht="12.75">
      <c r="B177" s="18"/>
      <c r="C177" s="18"/>
      <c r="D177" s="29"/>
      <c r="E177" s="31">
        <f t="shared" si="1"/>
        <v>6</v>
      </c>
      <c r="F177" s="864"/>
      <c r="G177" s="874"/>
      <c r="H177" s="868"/>
      <c r="I177" s="864"/>
      <c r="J177" s="865"/>
      <c r="K177" s="864"/>
      <c r="L177" s="868"/>
      <c r="M177" s="879"/>
      <c r="N177" s="880"/>
      <c r="O177" s="18"/>
      <c r="P177" s="18"/>
      <c r="Q177" s="345"/>
      <c r="R177" s="353">
        <f>IF(NOT(ISBLANK(F177)),COUNTA($F$172:$F177),"")</f>
      </c>
      <c r="S177" s="353">
        <f t="shared" si="0"/>
      </c>
    </row>
    <row r="178" spans="2:19" ht="12.75">
      <c r="B178" s="18"/>
      <c r="C178" s="18"/>
      <c r="D178" s="29"/>
      <c r="E178" s="31">
        <f t="shared" si="1"/>
        <v>7</v>
      </c>
      <c r="F178" s="864"/>
      <c r="G178" s="874"/>
      <c r="H178" s="868"/>
      <c r="I178" s="864"/>
      <c r="J178" s="865"/>
      <c r="K178" s="864"/>
      <c r="L178" s="868"/>
      <c r="M178" s="879"/>
      <c r="N178" s="880"/>
      <c r="O178" s="18"/>
      <c r="P178" s="18"/>
      <c r="Q178" s="345"/>
      <c r="R178" s="353">
        <f>IF(NOT(ISBLANK(F178)),COUNTA($F$172:$F178),"")</f>
      </c>
      <c r="S178" s="353">
        <f t="shared" si="0"/>
      </c>
    </row>
    <row r="179" spans="2:19" ht="12.75">
      <c r="B179" s="18"/>
      <c r="C179" s="18"/>
      <c r="D179" s="29"/>
      <c r="E179" s="31">
        <f t="shared" si="1"/>
        <v>8</v>
      </c>
      <c r="F179" s="864"/>
      <c r="G179" s="874"/>
      <c r="H179" s="868"/>
      <c r="I179" s="864"/>
      <c r="J179" s="865"/>
      <c r="K179" s="864"/>
      <c r="L179" s="868"/>
      <c r="M179" s="879"/>
      <c r="N179" s="880"/>
      <c r="O179" s="18"/>
      <c r="P179" s="18"/>
      <c r="Q179" s="345"/>
      <c r="R179" s="353">
        <f>IF(NOT(ISBLANK(F179)),COUNTA($F$172:$F179),"")</f>
      </c>
      <c r="S179" s="353">
        <f t="shared" si="0"/>
      </c>
    </row>
    <row r="180" spans="2:19" ht="12.75">
      <c r="B180" s="18"/>
      <c r="C180" s="18"/>
      <c r="D180" s="29"/>
      <c r="E180" s="31">
        <f t="shared" si="1"/>
        <v>9</v>
      </c>
      <c r="F180" s="864"/>
      <c r="G180" s="874"/>
      <c r="H180" s="868"/>
      <c r="I180" s="864"/>
      <c r="J180" s="865"/>
      <c r="K180" s="864"/>
      <c r="L180" s="868"/>
      <c r="M180" s="879"/>
      <c r="N180" s="880"/>
      <c r="O180" s="18"/>
      <c r="P180" s="18"/>
      <c r="Q180" s="345"/>
      <c r="R180" s="353">
        <f>IF(NOT(ISBLANK(F180)),COUNTA($F$172:$F180),"")</f>
      </c>
      <c r="S180" s="353">
        <f t="shared" si="0"/>
      </c>
    </row>
    <row r="181" spans="2:19" ht="13.5" thickBot="1">
      <c r="B181" s="18"/>
      <c r="C181" s="18"/>
      <c r="D181" s="29"/>
      <c r="E181" s="32">
        <f t="shared" si="1"/>
        <v>10</v>
      </c>
      <c r="F181" s="881"/>
      <c r="G181" s="889"/>
      <c r="H181" s="883"/>
      <c r="I181" s="881"/>
      <c r="J181" s="882"/>
      <c r="K181" s="881"/>
      <c r="L181" s="883"/>
      <c r="M181" s="875"/>
      <c r="N181" s="876"/>
      <c r="O181" s="18"/>
      <c r="P181" s="18"/>
      <c r="Q181" s="345"/>
      <c r="R181" s="354">
        <f>IF(NOT(ISBLANK(F181)),COUNTA($F$172:$F181),"")</f>
      </c>
      <c r="S181" s="354">
        <f t="shared" si="0"/>
      </c>
    </row>
    <row r="182" spans="2:16" ht="12.75">
      <c r="B182" s="18"/>
      <c r="C182" s="18"/>
      <c r="D182" s="29"/>
      <c r="E182" s="24"/>
      <c r="F182" s="24"/>
      <c r="G182" s="24"/>
      <c r="H182" s="24"/>
      <c r="I182" s="24"/>
      <c r="J182" s="24"/>
      <c r="K182" s="24"/>
      <c r="L182" s="24"/>
      <c r="M182" s="24"/>
      <c r="N182" s="24"/>
      <c r="O182" s="18"/>
      <c r="P182" s="18"/>
    </row>
    <row r="183" spans="2:16" ht="12.75">
      <c r="B183" s="18"/>
      <c r="C183" s="18"/>
      <c r="D183" s="99" t="s">
        <v>249</v>
      </c>
      <c r="E183" s="728" t="str">
        <f>Translations!$B$461</f>
        <v>Inserire qui ulteriori informazioni sugli impianti collegati, se pertinente:</v>
      </c>
      <c r="F183" s="724"/>
      <c r="G183" s="724"/>
      <c r="H183" s="724"/>
      <c r="I183" s="724"/>
      <c r="J183" s="724"/>
      <c r="K183" s="724"/>
      <c r="L183" s="724"/>
      <c r="M183" s="724"/>
      <c r="N183" s="724"/>
      <c r="O183" s="18"/>
      <c r="P183" s="18"/>
    </row>
    <row r="184" spans="2:16" ht="12.75">
      <c r="B184" s="18"/>
      <c r="C184" s="18"/>
      <c r="D184" s="15"/>
      <c r="E184" s="784" t="str">
        <f>Translations!$B$1162</f>
        <v>L'identificativo dell'impianto è obbligatorio se l'impianto collegato è incluso nel sistema EU ETS.</v>
      </c>
      <c r="F184" s="724"/>
      <c r="G184" s="724"/>
      <c r="H184" s="724"/>
      <c r="I184" s="724"/>
      <c r="J184" s="724"/>
      <c r="K184" s="724"/>
      <c r="L184" s="724"/>
      <c r="M184" s="724"/>
      <c r="N184" s="724"/>
      <c r="O184" s="18"/>
      <c r="P184" s="18"/>
    </row>
    <row r="185" spans="2:16" ht="12.75">
      <c r="B185" s="18"/>
      <c r="C185" s="18"/>
      <c r="D185" s="15"/>
      <c r="E185" s="784" t="str">
        <f>Translations!$B$462</f>
        <v>Il nome del referente e i dettagli di contatto per gli impianti rientranti nel sistema ETS dell'UE sono facoltativi, salvo che siano resi obbligatori dall'autorità competente.</v>
      </c>
      <c r="F185" s="724"/>
      <c r="G185" s="724"/>
      <c r="H185" s="724"/>
      <c r="I185" s="724"/>
      <c r="J185" s="724"/>
      <c r="K185" s="724"/>
      <c r="L185" s="724"/>
      <c r="M185" s="724"/>
      <c r="N185" s="724"/>
      <c r="O185" s="18"/>
      <c r="P185" s="18"/>
    </row>
    <row r="186" spans="2:16" ht="12.75">
      <c r="B186" s="18"/>
      <c r="C186" s="18"/>
      <c r="D186" s="15"/>
      <c r="E186" s="784" t="str">
        <f>Translations!$B$463</f>
        <v>Per le entità non incluse nel sistema ETS dell'UE, i dettagli di contatto sono obbligatori, tuttavia non è richiesto l'identificativo dell'impianto del catalogo indipendente comunitario delle operazioni (Community Independent Transaction Log - CITL).</v>
      </c>
      <c r="F186" s="724"/>
      <c r="G186" s="724"/>
      <c r="H186" s="724"/>
      <c r="I186" s="724"/>
      <c r="J186" s="724"/>
      <c r="K186" s="724"/>
      <c r="L186" s="724"/>
      <c r="M186" s="724"/>
      <c r="N186" s="724"/>
      <c r="O186" s="18"/>
      <c r="P186" s="18"/>
    </row>
    <row r="187" spans="2:16" ht="12.75">
      <c r="B187" s="18"/>
      <c r="C187" s="18"/>
      <c r="D187" s="18"/>
      <c r="E187" s="205" t="str">
        <f>Translations!$B$432</f>
        <v>N.</v>
      </c>
      <c r="F187" s="791" t="str">
        <f>Translations!$B$464</f>
        <v>Identificativo dell'impianto utilizzato nel CITL</v>
      </c>
      <c r="G187" s="793"/>
      <c r="H187" s="791" t="str">
        <f>Translations!$B$465</f>
        <v>Nome del referente</v>
      </c>
      <c r="I187" s="793"/>
      <c r="J187" s="866" t="str">
        <f>Translations!$B$466</f>
        <v>indirizzo di posta elettronica</v>
      </c>
      <c r="K187" s="792"/>
      <c r="L187" s="793"/>
      <c r="M187" s="791" t="str">
        <f>Translations!$B$467</f>
        <v>numero di telefono</v>
      </c>
      <c r="N187" s="867"/>
      <c r="O187" s="18"/>
      <c r="P187" s="18"/>
    </row>
    <row r="188" spans="2:16" ht="12.75">
      <c r="B188" s="18"/>
      <c r="C188" s="18"/>
      <c r="D188" s="18"/>
      <c r="E188" s="37">
        <v>1</v>
      </c>
      <c r="F188" s="877"/>
      <c r="G188" s="878"/>
      <c r="H188" s="869"/>
      <c r="I188" s="871"/>
      <c r="J188" s="869"/>
      <c r="K188" s="870"/>
      <c r="L188" s="871"/>
      <c r="M188" s="859"/>
      <c r="N188" s="860"/>
      <c r="O188" s="18"/>
      <c r="P188" s="18"/>
    </row>
    <row r="189" spans="2:16" ht="12.75">
      <c r="B189" s="18"/>
      <c r="C189" s="18"/>
      <c r="D189" s="18"/>
      <c r="E189" s="31">
        <f>E188+1</f>
        <v>2</v>
      </c>
      <c r="F189" s="872"/>
      <c r="G189" s="873"/>
      <c r="H189" s="861"/>
      <c r="I189" s="863"/>
      <c r="J189" s="861"/>
      <c r="K189" s="862"/>
      <c r="L189" s="863"/>
      <c r="M189" s="806"/>
      <c r="N189" s="807"/>
      <c r="O189" s="18"/>
      <c r="P189" s="18"/>
    </row>
    <row r="190" spans="2:16" ht="12.75">
      <c r="B190" s="18"/>
      <c r="C190" s="18"/>
      <c r="D190" s="18"/>
      <c r="E190" s="31">
        <f aca="true" t="shared" si="2" ref="E190:E197">E189+1</f>
        <v>3</v>
      </c>
      <c r="F190" s="872"/>
      <c r="G190" s="873"/>
      <c r="H190" s="861"/>
      <c r="I190" s="863"/>
      <c r="J190" s="861"/>
      <c r="K190" s="862"/>
      <c r="L190" s="863"/>
      <c r="M190" s="806"/>
      <c r="N190" s="807"/>
      <c r="O190" s="18"/>
      <c r="P190" s="18"/>
    </row>
    <row r="191" spans="2:16" ht="12.75">
      <c r="B191" s="18"/>
      <c r="C191" s="18"/>
      <c r="D191" s="18"/>
      <c r="E191" s="31">
        <f t="shared" si="2"/>
        <v>4</v>
      </c>
      <c r="F191" s="872"/>
      <c r="G191" s="873"/>
      <c r="H191" s="861"/>
      <c r="I191" s="863"/>
      <c r="J191" s="861"/>
      <c r="K191" s="862"/>
      <c r="L191" s="863"/>
      <c r="M191" s="806"/>
      <c r="N191" s="807"/>
      <c r="O191" s="18"/>
      <c r="P191" s="18"/>
    </row>
    <row r="192" spans="2:16" ht="12.75">
      <c r="B192" s="18"/>
      <c r="C192" s="18"/>
      <c r="D192" s="18"/>
      <c r="E192" s="31">
        <f t="shared" si="2"/>
        <v>5</v>
      </c>
      <c r="F192" s="872"/>
      <c r="G192" s="873"/>
      <c r="H192" s="861"/>
      <c r="I192" s="863"/>
      <c r="J192" s="861"/>
      <c r="K192" s="862"/>
      <c r="L192" s="863"/>
      <c r="M192" s="806"/>
      <c r="N192" s="807"/>
      <c r="O192" s="18"/>
      <c r="P192" s="18"/>
    </row>
    <row r="193" spans="2:16" ht="12.75">
      <c r="B193" s="18"/>
      <c r="C193" s="18"/>
      <c r="D193" s="18"/>
      <c r="E193" s="31">
        <f t="shared" si="2"/>
        <v>6</v>
      </c>
      <c r="F193" s="872"/>
      <c r="G193" s="873"/>
      <c r="H193" s="861"/>
      <c r="I193" s="863"/>
      <c r="J193" s="861"/>
      <c r="K193" s="862"/>
      <c r="L193" s="863"/>
      <c r="M193" s="806"/>
      <c r="N193" s="807"/>
      <c r="O193" s="18"/>
      <c r="P193" s="18"/>
    </row>
    <row r="194" spans="2:16" ht="12.75">
      <c r="B194" s="18"/>
      <c r="C194" s="18"/>
      <c r="D194" s="18"/>
      <c r="E194" s="31">
        <f t="shared" si="2"/>
        <v>7</v>
      </c>
      <c r="F194" s="872"/>
      <c r="G194" s="873"/>
      <c r="H194" s="861"/>
      <c r="I194" s="863"/>
      <c r="J194" s="861"/>
      <c r="K194" s="862"/>
      <c r="L194" s="863"/>
      <c r="M194" s="806"/>
      <c r="N194" s="807"/>
      <c r="O194" s="18"/>
      <c r="P194" s="18"/>
    </row>
    <row r="195" spans="2:16" ht="12.75">
      <c r="B195" s="18"/>
      <c r="C195" s="18"/>
      <c r="D195" s="18"/>
      <c r="E195" s="31">
        <f t="shared" si="2"/>
        <v>8</v>
      </c>
      <c r="F195" s="872"/>
      <c r="G195" s="873"/>
      <c r="H195" s="861"/>
      <c r="I195" s="863"/>
      <c r="J195" s="861"/>
      <c r="K195" s="862"/>
      <c r="L195" s="863"/>
      <c r="M195" s="806"/>
      <c r="N195" s="807"/>
      <c r="O195" s="18"/>
      <c r="P195" s="18"/>
    </row>
    <row r="196" spans="2:16" ht="12.75">
      <c r="B196" s="18"/>
      <c r="C196" s="18"/>
      <c r="D196" s="18"/>
      <c r="E196" s="31">
        <f t="shared" si="2"/>
        <v>9</v>
      </c>
      <c r="F196" s="872"/>
      <c r="G196" s="873"/>
      <c r="H196" s="861"/>
      <c r="I196" s="863"/>
      <c r="J196" s="861"/>
      <c r="K196" s="862"/>
      <c r="L196" s="863"/>
      <c r="M196" s="806"/>
      <c r="N196" s="807"/>
      <c r="O196" s="18"/>
      <c r="P196" s="18"/>
    </row>
    <row r="197" spans="2:16" ht="12.75">
      <c r="B197" s="18"/>
      <c r="C197" s="18"/>
      <c r="D197" s="18"/>
      <c r="E197" s="32">
        <f t="shared" si="2"/>
        <v>10</v>
      </c>
      <c r="F197" s="892"/>
      <c r="G197" s="893"/>
      <c r="H197" s="886"/>
      <c r="I197" s="888"/>
      <c r="J197" s="886"/>
      <c r="K197" s="887"/>
      <c r="L197" s="888"/>
      <c r="M197" s="884"/>
      <c r="N197" s="885"/>
      <c r="O197" s="18"/>
      <c r="P197" s="18"/>
    </row>
    <row r="198" spans="2:16" ht="38.25" customHeight="1">
      <c r="B198" s="18"/>
      <c r="C198" s="18"/>
      <c r="D198" s="18"/>
      <c r="E198" s="24"/>
      <c r="F198" s="24"/>
      <c r="G198" s="24"/>
      <c r="H198" s="24"/>
      <c r="I198" s="24"/>
      <c r="J198" s="24"/>
      <c r="K198" s="24"/>
      <c r="L198" s="24"/>
      <c r="M198" s="24"/>
      <c r="N198" s="24"/>
      <c r="O198" s="18"/>
      <c r="P198" s="18"/>
    </row>
    <row r="199" spans="1:26" s="523" customFormat="1" ht="18" customHeight="1">
      <c r="A199" s="4"/>
      <c r="B199" s="208"/>
      <c r="C199" s="315" t="s">
        <v>217</v>
      </c>
      <c r="D199" s="331" t="str">
        <f>Translations!$B$1504</f>
        <v>Identificazione di tutti gli impianti interessati</v>
      </c>
      <c r="E199" s="331"/>
      <c r="F199" s="331"/>
      <c r="G199" s="331"/>
      <c r="H199" s="331"/>
      <c r="I199" s="331"/>
      <c r="J199" s="331"/>
      <c r="K199" s="331"/>
      <c r="L199" s="331"/>
      <c r="M199" s="331"/>
      <c r="N199" s="331"/>
      <c r="O199" s="209"/>
      <c r="P199" s="209"/>
      <c r="Q199" s="362"/>
      <c r="R199" s="362"/>
      <c r="S199" s="362"/>
      <c r="T199" s="362"/>
      <c r="U199" s="362"/>
      <c r="V199" s="362"/>
      <c r="W199" s="362"/>
      <c r="X199" s="362"/>
      <c r="Y199" s="362"/>
      <c r="Z199" s="362"/>
    </row>
    <row r="200" spans="2:17" ht="12.75" customHeight="1">
      <c r="B200" s="5"/>
      <c r="C200" s="5"/>
      <c r="D200" s="5"/>
      <c r="E200" s="5"/>
      <c r="F200" s="5"/>
      <c r="G200" s="5"/>
      <c r="H200" s="5"/>
      <c r="I200" s="5"/>
      <c r="J200" s="5"/>
      <c r="K200" s="5"/>
      <c r="L200" s="5"/>
      <c r="M200" s="9"/>
      <c r="N200" s="9"/>
      <c r="O200" s="9"/>
      <c r="P200" s="9"/>
      <c r="Q200" s="339"/>
    </row>
    <row r="201" spans="2:17" ht="12.75" customHeight="1">
      <c r="B201" s="5"/>
      <c r="C201" s="5"/>
      <c r="D201" s="813" t="str">
        <f>Translations!$B$1526</f>
        <v>Si prega di fornire qui informazioni su tutti gli impianti interessati dalla fusione, dalla scissione o dal trasferimento di parti dell’impianto.</v>
      </c>
      <c r="E201" s="813"/>
      <c r="F201" s="813"/>
      <c r="G201" s="813"/>
      <c r="H201" s="813"/>
      <c r="I201" s="813"/>
      <c r="J201" s="813"/>
      <c r="K201" s="813"/>
      <c r="L201" s="813"/>
      <c r="M201" s="813"/>
      <c r="N201" s="813"/>
      <c r="O201" s="9"/>
      <c r="P201" s="9"/>
      <c r="Q201" s="339"/>
    </row>
    <row r="202" spans="2:17" ht="12.75" customHeight="1">
      <c r="B202" s="5"/>
      <c r="C202" s="5"/>
      <c r="D202" s="787" t="str">
        <f>Translations!$B$1527</f>
        <v>La descrizione degli impianti 1 e 2 deve riguardare la situazione PRIMA della fusione, della scissione o del trasferimento di parti dell’impianto.</v>
      </c>
      <c r="E202" s="787"/>
      <c r="F202" s="787"/>
      <c r="G202" s="787"/>
      <c r="H202" s="787"/>
      <c r="I202" s="787"/>
      <c r="J202" s="787"/>
      <c r="K202" s="787"/>
      <c r="L202" s="787"/>
      <c r="M202" s="787"/>
      <c r="N202" s="787"/>
      <c r="O202" s="9"/>
      <c r="P202" s="9"/>
      <c r="Q202" s="339"/>
    </row>
    <row r="203" spans="2:17" ht="25.5" customHeight="1">
      <c r="B203" s="5"/>
      <c r="C203" s="5"/>
      <c r="D203" s="787" t="str">
        <f>Translations!$B$1528</f>
        <v>La descrizione degli impianti 3 e 4 deve riguardare la situazione DOPO la fusione, la scissione o il trasferimento di parti dell’impianto, dove l'impianto 3 è quello che presenta la domanda</v>
      </c>
      <c r="E203" s="787"/>
      <c r="F203" s="787"/>
      <c r="G203" s="787"/>
      <c r="H203" s="787"/>
      <c r="I203" s="787"/>
      <c r="J203" s="787"/>
      <c r="K203" s="787"/>
      <c r="L203" s="787"/>
      <c r="M203" s="787"/>
      <c r="N203" s="787"/>
      <c r="O203" s="9"/>
      <c r="P203" s="9"/>
      <c r="Q203" s="339"/>
    </row>
    <row r="204" spans="2:17" ht="12.75" customHeight="1">
      <c r="B204" s="5"/>
      <c r="C204" s="5"/>
      <c r="D204" s="813" t="str">
        <f>Translations!$B$1529</f>
        <v>Si prega di notare che spesso vi è un solo impianto prima o dopo la modifica. In tal caso non occorre compilare tutte le sezioni:</v>
      </c>
      <c r="E204" s="813"/>
      <c r="F204" s="813"/>
      <c r="G204" s="813"/>
      <c r="H204" s="813"/>
      <c r="I204" s="813"/>
      <c r="J204" s="813"/>
      <c r="K204" s="813"/>
      <c r="L204" s="813"/>
      <c r="M204" s="813"/>
      <c r="N204" s="813"/>
      <c r="O204" s="9"/>
      <c r="P204" s="9"/>
      <c r="Q204" s="339"/>
    </row>
    <row r="205" spans="2:17" ht="12.75" customHeight="1">
      <c r="B205" s="5"/>
      <c r="C205" s="5"/>
      <c r="D205" s="191" t="s">
        <v>291</v>
      </c>
      <c r="E205" s="787" t="str">
        <f>Translations!$B$1530</f>
        <v>In caso di fusione, di norma ci sono due impianti PRIMA del cambiamento e uno solo DOPO il cambiamento (sezioni pertinenti: 1, 2 e 3)</v>
      </c>
      <c r="F205" s="787"/>
      <c r="G205" s="787"/>
      <c r="H205" s="787"/>
      <c r="I205" s="787"/>
      <c r="J205" s="787"/>
      <c r="K205" s="787"/>
      <c r="L205" s="787"/>
      <c r="M205" s="787"/>
      <c r="N205" s="787"/>
      <c r="O205" s="9"/>
      <c r="P205" s="9"/>
      <c r="Q205" s="339"/>
    </row>
    <row r="206" spans="2:17" ht="12.75" customHeight="1">
      <c r="B206" s="5"/>
      <c r="C206" s="5"/>
      <c r="D206" s="191" t="s">
        <v>291</v>
      </c>
      <c r="E206" s="787" t="str">
        <f>Translations!$B$1531</f>
        <v>Nel caso di una scissione, di norma c'è un impianto PRIMA del cambiamento e due DOPO il cambiamento (sezioni pertinenti: 1, 3 e 4)</v>
      </c>
      <c r="F206" s="787"/>
      <c r="G206" s="787"/>
      <c r="H206" s="787"/>
      <c r="I206" s="787"/>
      <c r="J206" s="787"/>
      <c r="K206" s="787"/>
      <c r="L206" s="787"/>
      <c r="M206" s="787"/>
      <c r="N206" s="787"/>
      <c r="O206" s="9"/>
      <c r="P206" s="9"/>
      <c r="Q206" s="339"/>
    </row>
    <row r="207" spans="2:17" ht="12.75" customHeight="1">
      <c r="B207" s="5"/>
      <c r="C207" s="5"/>
      <c r="D207" s="191"/>
      <c r="E207" s="243"/>
      <c r="F207" s="243"/>
      <c r="G207" s="243"/>
      <c r="H207" s="243"/>
      <c r="I207" s="243"/>
      <c r="J207" s="243"/>
      <c r="K207" s="243"/>
      <c r="L207" s="243"/>
      <c r="M207" s="243"/>
      <c r="N207" s="243"/>
      <c r="O207" s="9"/>
      <c r="P207" s="9"/>
      <c r="Q207" s="339"/>
    </row>
    <row r="208" spans="2:16" ht="15">
      <c r="B208" s="18"/>
      <c r="C208" s="16">
        <v>1</v>
      </c>
      <c r="D208" s="840" t="str">
        <f>Translations!$B$1492&amp;" "&amp;C208</f>
        <v>Impianto PRIMA della fusione, della scissione o del trasferimento 1</v>
      </c>
      <c r="E208" s="724"/>
      <c r="F208" s="724"/>
      <c r="G208" s="724"/>
      <c r="H208" s="724"/>
      <c r="I208" s="724"/>
      <c r="J208" s="724"/>
      <c r="K208" s="724"/>
      <c r="L208" s="724"/>
      <c r="M208" s="724"/>
      <c r="N208" s="724"/>
      <c r="O208" s="18"/>
      <c r="P208" s="18"/>
    </row>
    <row r="209" spans="2:17" ht="4.5" customHeight="1">
      <c r="B209" s="5"/>
      <c r="C209" s="5"/>
      <c r="D209" s="5"/>
      <c r="E209" s="5"/>
      <c r="F209" s="5"/>
      <c r="G209" s="5"/>
      <c r="H209" s="5"/>
      <c r="I209" s="5"/>
      <c r="J209" s="5"/>
      <c r="K209" s="5"/>
      <c r="L209" s="5"/>
      <c r="M209" s="9"/>
      <c r="N209" s="9"/>
      <c r="O209" s="9"/>
      <c r="P209" s="18"/>
      <c r="Q209" s="339"/>
    </row>
    <row r="210" spans="2:17" ht="28.5" customHeight="1">
      <c r="B210" s="5"/>
      <c r="C210" s="5"/>
      <c r="D210" s="99" t="s">
        <v>462</v>
      </c>
      <c r="E210" s="728" t="str">
        <f>Translations!$B$1532</f>
        <v>Si tratta dello stesso impianto per il quale viene presentata la domanda?</v>
      </c>
      <c r="F210" s="724"/>
      <c r="G210" s="724"/>
      <c r="H210" s="724"/>
      <c r="I210" s="808"/>
      <c r="J210" s="324"/>
      <c r="K210" s="5"/>
      <c r="L210" s="5"/>
      <c r="M210" s="9"/>
      <c r="N210" s="9"/>
      <c r="O210" s="9"/>
      <c r="P210" s="18"/>
      <c r="Q210" s="339"/>
    </row>
    <row r="211" spans="2:17" ht="24" customHeight="1">
      <c r="B211" s="5"/>
      <c r="C211" s="5"/>
      <c r="D211" s="5"/>
      <c r="E211" s="787" t="str">
        <f>Translations!$B$1533</f>
        <v>Indicare "GIUSTO" se il codice di identificazione e i dati relativi all'impianto (sezione II precedente) PRIMA della fusione, della scissione o del trasferimento rimangono gli stessi anche DOPO la modifica.</v>
      </c>
      <c r="F211" s="787"/>
      <c r="G211" s="787"/>
      <c r="H211" s="787"/>
      <c r="I211" s="787"/>
      <c r="J211" s="787"/>
      <c r="K211" s="787"/>
      <c r="L211" s="787"/>
      <c r="M211" s="787"/>
      <c r="N211" s="787"/>
      <c r="O211" s="9"/>
      <c r="P211" s="18"/>
      <c r="Q211" s="339"/>
    </row>
    <row r="212" spans="2:17" ht="25.5" customHeight="1">
      <c r="B212" s="5"/>
      <c r="C212" s="5"/>
      <c r="D212" s="5"/>
      <c r="E212" s="787" t="str">
        <f>Translations!$B$1534</f>
        <v>L'inserimento della dicitura "SBAGLIATO" qui significa che il codice di identificazione e i dati relativi all'impianto sono diversi. In tal caso, il nome dell’impianto 1 PRIMA della fusione, della scissione o del trasferimento deve essere inserito manualmente al punto ii) in appresso.</v>
      </c>
      <c r="F212" s="787"/>
      <c r="G212" s="787"/>
      <c r="H212" s="787"/>
      <c r="I212" s="787"/>
      <c r="J212" s="787"/>
      <c r="K212" s="787"/>
      <c r="L212" s="787"/>
      <c r="M212" s="787"/>
      <c r="N212" s="787"/>
      <c r="O212" s="9"/>
      <c r="P212" s="18"/>
      <c r="Q212" s="339"/>
    </row>
    <row r="213" spans="2:17" ht="4.5" customHeight="1">
      <c r="B213" s="5"/>
      <c r="C213" s="5"/>
      <c r="D213" s="5"/>
      <c r="E213" s="243"/>
      <c r="F213" s="243"/>
      <c r="G213" s="243"/>
      <c r="H213" s="243"/>
      <c r="I213" s="243"/>
      <c r="J213" s="243"/>
      <c r="K213" s="243"/>
      <c r="L213" s="243"/>
      <c r="M213" s="243"/>
      <c r="N213" s="243"/>
      <c r="O213" s="9"/>
      <c r="P213" s="18"/>
      <c r="Q213" s="339"/>
    </row>
    <row r="214" spans="2:26" ht="12.75" customHeight="1">
      <c r="B214" s="5"/>
      <c r="C214" s="5"/>
      <c r="D214" s="5"/>
      <c r="E214" s="321" t="s">
        <v>427</v>
      </c>
      <c r="F214" s="800" t="str">
        <f>Translations!$B$1535</f>
        <v>Nome dell’impianto (dalla sezione II.1.a)</v>
      </c>
      <c r="G214" s="800"/>
      <c r="H214" s="800"/>
      <c r="I214" s="801"/>
      <c r="J214" s="788">
        <f>IF(J210,IF(ISBLANK(J48),"",J48),"")</f>
      </c>
      <c r="K214" s="789"/>
      <c r="L214" s="789"/>
      <c r="M214" s="789"/>
      <c r="N214" s="790"/>
      <c r="O214" s="9"/>
      <c r="P214" s="18"/>
      <c r="Q214" s="339"/>
      <c r="Z214" s="439" t="s">
        <v>556</v>
      </c>
    </row>
    <row r="215" spans="2:26" ht="12.75" customHeight="1">
      <c r="B215" s="5"/>
      <c r="C215" s="5"/>
      <c r="D215" s="5"/>
      <c r="E215" s="321" t="s">
        <v>428</v>
      </c>
      <c r="F215" s="802" t="str">
        <f>Translations!$B$1536</f>
        <v>Inserimento manuale (se nome diverso da i).</v>
      </c>
      <c r="G215" s="802"/>
      <c r="H215" s="802"/>
      <c r="I215" s="803"/>
      <c r="J215" s="794"/>
      <c r="K215" s="795"/>
      <c r="L215" s="795"/>
      <c r="M215" s="795"/>
      <c r="N215" s="796"/>
      <c r="O215" s="9"/>
      <c r="P215" s="18"/>
      <c r="Q215" s="339"/>
      <c r="Z215" s="342">
        <f>IF(J210,1,IF(AND(J210&lt;&gt;"",J210=FALSE),2,""))</f>
      </c>
    </row>
    <row r="216" spans="2:17" ht="12.75" customHeight="1">
      <c r="B216" s="5"/>
      <c r="C216" s="5"/>
      <c r="D216" s="5"/>
      <c r="E216" s="321" t="s">
        <v>429</v>
      </c>
      <c r="F216" s="804" t="str">
        <f>Translations!$B$1537</f>
        <v>Nome dell’impianto utilizzato nella domanda</v>
      </c>
      <c r="G216" s="804"/>
      <c r="H216" s="804"/>
      <c r="I216" s="805"/>
      <c r="J216" s="797">
        <f>IF(J215="",J214,J215)</f>
      </c>
      <c r="K216" s="798"/>
      <c r="L216" s="798"/>
      <c r="M216" s="798"/>
      <c r="N216" s="799"/>
      <c r="O216" s="9"/>
      <c r="P216" s="18"/>
      <c r="Q216" s="339"/>
    </row>
    <row r="217" spans="2:17" ht="4.5" customHeight="1">
      <c r="B217" s="5"/>
      <c r="C217" s="5"/>
      <c r="D217" s="5"/>
      <c r="E217" s="5"/>
      <c r="F217" s="5"/>
      <c r="G217" s="5"/>
      <c r="H217" s="5"/>
      <c r="I217" s="5"/>
      <c r="J217" s="5"/>
      <c r="K217" s="5"/>
      <c r="L217" s="5"/>
      <c r="M217" s="9"/>
      <c r="N217" s="9"/>
      <c r="O217" s="9"/>
      <c r="P217" s="18"/>
      <c r="Q217" s="339"/>
    </row>
    <row r="218" spans="2:16" ht="12.75">
      <c r="B218" s="18"/>
      <c r="C218" s="18"/>
      <c r="D218" s="14" t="s">
        <v>249</v>
      </c>
      <c r="E218" s="728" t="str">
        <f>Translations!$B$350</f>
        <v>Identificativo univoco fornito dall'autorità competente:</v>
      </c>
      <c r="F218" s="724"/>
      <c r="G218" s="724"/>
      <c r="H218" s="724"/>
      <c r="I218" s="786"/>
      <c r="J218" s="812"/>
      <c r="K218" s="812"/>
      <c r="L218" s="812"/>
      <c r="M218" s="812"/>
      <c r="N218" s="812"/>
      <c r="O218" s="18"/>
      <c r="P218" s="18"/>
    </row>
    <row r="219" spans="2:16" ht="12.75" customHeight="1">
      <c r="B219" s="18"/>
      <c r="C219" s="18"/>
      <c r="D219" s="18"/>
      <c r="E219" s="784" t="str">
        <f>Translations!$B$1033</f>
        <v>Si tratta del numero di autorizzazione ad emettere gas ad effetto serra riportato nella deliberazione di rilascio dell'autorizzazione.</v>
      </c>
      <c r="F219" s="724"/>
      <c r="G219" s="724"/>
      <c r="H219" s="724"/>
      <c r="I219" s="724"/>
      <c r="J219" s="724"/>
      <c r="K219" s="724"/>
      <c r="L219" s="724"/>
      <c r="M219" s="724"/>
      <c r="N219" s="724"/>
      <c r="O219" s="18"/>
      <c r="P219" s="18"/>
    </row>
    <row r="220" spans="2:26" ht="29.25" customHeight="1">
      <c r="B220" s="5"/>
      <c r="C220" s="5"/>
      <c r="D220" s="5"/>
      <c r="E220" s="321" t="s">
        <v>427</v>
      </c>
      <c r="F220" s="800" t="str">
        <f>Translations!$B$1538</f>
        <v>Codice identificativo unico fornito dall'autorità competente</v>
      </c>
      <c r="G220" s="800"/>
      <c r="H220" s="800"/>
      <c r="I220" s="801"/>
      <c r="J220" s="788">
        <f>IF(J210,IF(ISBLANK(J56),"",J56),"")</f>
      </c>
      <c r="K220" s="789"/>
      <c r="L220" s="789"/>
      <c r="M220" s="789"/>
      <c r="N220" s="790"/>
      <c r="O220" s="9"/>
      <c r="P220" s="18"/>
      <c r="Q220" s="339"/>
      <c r="Z220" s="439" t="s">
        <v>556</v>
      </c>
    </row>
    <row r="221" spans="2:26" ht="16.5" customHeight="1">
      <c r="B221" s="5"/>
      <c r="C221" s="5"/>
      <c r="D221" s="5"/>
      <c r="E221" s="321" t="s">
        <v>428</v>
      </c>
      <c r="F221" s="802" t="str">
        <f>Translations!$B$1536</f>
        <v>Inserimento manuale (se nome diverso da i).</v>
      </c>
      <c r="G221" s="802"/>
      <c r="H221" s="802"/>
      <c r="I221" s="803"/>
      <c r="J221" s="794"/>
      <c r="K221" s="795"/>
      <c r="L221" s="795"/>
      <c r="M221" s="795"/>
      <c r="N221" s="796"/>
      <c r="O221" s="9"/>
      <c r="P221" s="18"/>
      <c r="Q221" s="339"/>
      <c r="Z221" s="342">
        <f>Z215</f>
      </c>
    </row>
    <row r="222" spans="2:17" ht="16.5" customHeight="1">
      <c r="B222" s="5"/>
      <c r="C222" s="5"/>
      <c r="D222" s="5"/>
      <c r="E222" s="321" t="s">
        <v>429</v>
      </c>
      <c r="F222" s="804" t="str">
        <f>Translations!$B$1539</f>
        <v>Codice identificativo unico utilizzato per la notifica</v>
      </c>
      <c r="G222" s="804"/>
      <c r="H222" s="804"/>
      <c r="I222" s="805"/>
      <c r="J222" s="797">
        <f>IF(J221="",J220,J221)</f>
      </c>
      <c r="K222" s="798"/>
      <c r="L222" s="798"/>
      <c r="M222" s="798"/>
      <c r="N222" s="799"/>
      <c r="O222" s="9"/>
      <c r="P222" s="18"/>
      <c r="Q222" s="339"/>
    </row>
    <row r="223" spans="2:17" ht="16.5" customHeight="1">
      <c r="B223" s="5"/>
      <c r="C223" s="5"/>
      <c r="D223" s="5"/>
      <c r="E223" s="5"/>
      <c r="F223" s="5"/>
      <c r="G223" s="5"/>
      <c r="H223" s="5"/>
      <c r="I223" s="5"/>
      <c r="J223" s="5"/>
      <c r="K223" s="5"/>
      <c r="L223" s="5"/>
      <c r="M223" s="9"/>
      <c r="N223" s="9"/>
      <c r="O223" s="9"/>
      <c r="P223" s="18"/>
      <c r="Q223" s="339"/>
    </row>
    <row r="224" spans="2:26" ht="12.75">
      <c r="B224" s="18"/>
      <c r="C224" s="18"/>
      <c r="D224" s="14" t="s">
        <v>458</v>
      </c>
      <c r="E224" s="728" t="str">
        <f>Translations!$B$352</f>
        <v>Codice identificativo dell'impianto nel registro:</v>
      </c>
      <c r="F224" s="724"/>
      <c r="G224" s="724"/>
      <c r="H224" s="724"/>
      <c r="I224" s="808"/>
      <c r="J224" s="809"/>
      <c r="K224" s="810"/>
      <c r="L224" s="810"/>
      <c r="M224" s="810"/>
      <c r="N224" s="811"/>
      <c r="O224" s="18"/>
      <c r="P224" s="18"/>
      <c r="Z224" s="447">
        <f>J210</f>
        <v>0</v>
      </c>
    </row>
    <row r="225" spans="2:16" ht="12.75">
      <c r="B225" s="18"/>
      <c r="C225" s="18"/>
      <c r="D225" s="14"/>
      <c r="E225" s="784" t="str">
        <f>Translations!$B$353</f>
        <v>Di norma si tratta di un numero naturale, ossia un codice diverso da quello identificativo dell'autorizzazione utilizzato nel registro, corrispondente all'"installation identifier" presente sul registro.</v>
      </c>
      <c r="F225" s="724"/>
      <c r="G225" s="724"/>
      <c r="H225" s="724"/>
      <c r="I225" s="724"/>
      <c r="J225" s="724"/>
      <c r="K225" s="724"/>
      <c r="L225" s="724"/>
      <c r="M225" s="724"/>
      <c r="N225" s="724"/>
      <c r="O225" s="18"/>
      <c r="P225" s="18"/>
    </row>
    <row r="226" spans="2:16" ht="12.75">
      <c r="B226" s="18"/>
      <c r="C226" s="18"/>
      <c r="D226" s="14"/>
      <c r="E226" s="784" t="str">
        <f>Translations!$B$1575</f>
        <v>Qualora il codice identificativo unico venga inserito manualmente nel registro al punto ii) in appresso, deve rispettare il formato seguente ""IT000000000012345"</v>
      </c>
      <c r="F226" s="724"/>
      <c r="G226" s="724"/>
      <c r="H226" s="724"/>
      <c r="I226" s="724"/>
      <c r="J226" s="724"/>
      <c r="K226" s="724"/>
      <c r="L226" s="724"/>
      <c r="M226" s="724"/>
      <c r="N226" s="724"/>
      <c r="O226" s="18"/>
      <c r="P226" s="18"/>
    </row>
    <row r="227" spans="2:17" ht="4.5" customHeight="1">
      <c r="B227" s="5"/>
      <c r="C227" s="5"/>
      <c r="D227" s="5"/>
      <c r="E227" s="5"/>
      <c r="F227" s="5"/>
      <c r="G227" s="5"/>
      <c r="H227" s="5"/>
      <c r="I227" s="5"/>
      <c r="J227" s="5"/>
      <c r="K227" s="5"/>
      <c r="L227" s="5"/>
      <c r="M227" s="9"/>
      <c r="N227" s="9"/>
      <c r="O227" s="9"/>
      <c r="P227" s="18"/>
      <c r="Q227" s="339"/>
    </row>
    <row r="228" spans="2:16" ht="12.75" customHeight="1">
      <c r="B228" s="18"/>
      <c r="C228" s="18"/>
      <c r="D228" s="14"/>
      <c r="E228" s="321" t="s">
        <v>427</v>
      </c>
      <c r="F228" s="800" t="str">
        <f>Translations!$B$1540</f>
        <v>Codice identificativo unico del registro automatico</v>
      </c>
      <c r="G228" s="800"/>
      <c r="H228" s="800"/>
      <c r="I228" s="801"/>
      <c r="J228" s="788">
        <f>IF(J210,IF(ISBLANK(CNTR_UniqueID),"",CNTR_UniqueID),IF(AND($J$51&lt;&gt;"",J224&lt;&gt;""),CONCATENATE(INDEX(EUconst_MSlistISOcodes,MATCH($J$51,EUconst_MSlist,0)),TEXT(J224,"000000000000000")),""))</f>
      </c>
      <c r="K228" s="789"/>
      <c r="L228" s="789"/>
      <c r="M228" s="789"/>
      <c r="N228" s="790"/>
      <c r="O228" s="18"/>
      <c r="P228" s="215"/>
    </row>
    <row r="229" spans="2:26" ht="12.75" customHeight="1">
      <c r="B229" s="18"/>
      <c r="C229" s="18"/>
      <c r="D229" s="18"/>
      <c r="E229" s="321" t="s">
        <v>428</v>
      </c>
      <c r="F229" s="802" t="str">
        <f>Translations!$B$1541</f>
        <v>Immissione manuale del codice identificativo unico</v>
      </c>
      <c r="G229" s="802"/>
      <c r="H229" s="802"/>
      <c r="I229" s="803"/>
      <c r="J229" s="906"/>
      <c r="K229" s="907"/>
      <c r="L229" s="907"/>
      <c r="M229" s="907"/>
      <c r="N229" s="908"/>
      <c r="O229" s="18"/>
      <c r="P229" s="18"/>
      <c r="Z229" s="447">
        <f>Z224</f>
        <v>0</v>
      </c>
    </row>
    <row r="230" spans="2:19" ht="12.75" customHeight="1">
      <c r="B230" s="18"/>
      <c r="C230" s="18"/>
      <c r="D230" s="18"/>
      <c r="E230" s="321" t="s">
        <v>429</v>
      </c>
      <c r="F230" s="804" t="str">
        <f>Translations!$B$1542</f>
        <v>Codice identificativo unico utilizzato per la notifica</v>
      </c>
      <c r="G230" s="804"/>
      <c r="H230" s="804"/>
      <c r="I230" s="805"/>
      <c r="J230" s="797">
        <f>IF(J229="",J228,J229)</f>
      </c>
      <c r="K230" s="798"/>
      <c r="L230" s="798"/>
      <c r="M230" s="798"/>
      <c r="N230" s="799"/>
      <c r="O230" s="18"/>
      <c r="P230" s="18"/>
      <c r="R230" s="342">
        <f>C208</f>
        <v>1</v>
      </c>
      <c r="S230" s="343">
        <f>J216</f>
      </c>
    </row>
    <row r="231" spans="2:16" ht="12.75">
      <c r="B231" s="18"/>
      <c r="C231" s="18"/>
      <c r="D231" s="18"/>
      <c r="E231" s="18"/>
      <c r="F231" s="18"/>
      <c r="G231" s="18"/>
      <c r="H231" s="18"/>
      <c r="I231" s="18"/>
      <c r="J231" s="18"/>
      <c r="K231" s="18"/>
      <c r="L231" s="18"/>
      <c r="M231" s="18"/>
      <c r="N231" s="18"/>
      <c r="O231" s="18"/>
      <c r="P231" s="18"/>
    </row>
    <row r="232" spans="2:16" ht="15" customHeight="1">
      <c r="B232" s="18"/>
      <c r="C232" s="16">
        <v>2</v>
      </c>
      <c r="D232" s="840" t="str">
        <f>Translations!$B$1492&amp;" "&amp;C232</f>
        <v>Impianto PRIMA della fusione, della scissione o del trasferimento 2</v>
      </c>
      <c r="E232" s="724"/>
      <c r="F232" s="724"/>
      <c r="G232" s="724"/>
      <c r="H232" s="724"/>
      <c r="I232" s="724"/>
      <c r="J232" s="724"/>
      <c r="K232" s="724"/>
      <c r="L232" s="724"/>
      <c r="M232" s="724"/>
      <c r="N232" s="724"/>
      <c r="O232" s="18"/>
      <c r="P232" s="18"/>
    </row>
    <row r="233" spans="2:17" ht="12.75" customHeight="1">
      <c r="B233" s="5"/>
      <c r="C233" s="5"/>
      <c r="D233" s="813" t="str">
        <f>Translations!$B$1543</f>
        <v>Se è coinvolto un solo impianto PRIMA della fusione, della scissione o del trasferimento, la presente sezione deve essere lasciata vuota.</v>
      </c>
      <c r="E233" s="813"/>
      <c r="F233" s="813"/>
      <c r="G233" s="813"/>
      <c r="H233" s="813"/>
      <c r="I233" s="813"/>
      <c r="J233" s="813"/>
      <c r="K233" s="813"/>
      <c r="L233" s="813"/>
      <c r="M233" s="813"/>
      <c r="N233" s="813"/>
      <c r="O233" s="9"/>
      <c r="P233" s="18"/>
      <c r="Q233" s="339"/>
    </row>
    <row r="234" spans="2:17" ht="4.5" customHeight="1">
      <c r="B234" s="5"/>
      <c r="C234" s="5"/>
      <c r="D234" s="5"/>
      <c r="E234" s="5"/>
      <c r="F234" s="5"/>
      <c r="G234" s="5"/>
      <c r="H234" s="5"/>
      <c r="I234" s="5"/>
      <c r="J234" s="5"/>
      <c r="K234" s="5"/>
      <c r="L234" s="5"/>
      <c r="M234" s="9"/>
      <c r="N234" s="9"/>
      <c r="O234" s="9"/>
      <c r="P234" s="18"/>
      <c r="Q234" s="339"/>
    </row>
    <row r="235" spans="2:26" ht="12.75">
      <c r="B235" s="18"/>
      <c r="C235" s="18"/>
      <c r="D235" s="99" t="s">
        <v>462</v>
      </c>
      <c r="E235" s="728" t="str">
        <f>Translations!$B$346</f>
        <v>Denominazione dell'impianto:</v>
      </c>
      <c r="F235" s="724"/>
      <c r="G235" s="724"/>
      <c r="H235" s="724"/>
      <c r="I235" s="808"/>
      <c r="J235" s="817"/>
      <c r="K235" s="818"/>
      <c r="L235" s="818"/>
      <c r="M235" s="818"/>
      <c r="N235" s="819"/>
      <c r="O235" s="18"/>
      <c r="P235" s="18"/>
      <c r="Z235" s="447" t="b">
        <f>R15=2</f>
        <v>0</v>
      </c>
    </row>
    <row r="236" spans="2:17" ht="4.5" customHeight="1">
      <c r="B236" s="5"/>
      <c r="C236" s="5"/>
      <c r="D236" s="5"/>
      <c r="E236" s="5"/>
      <c r="F236" s="5"/>
      <c r="G236" s="5"/>
      <c r="H236" s="5"/>
      <c r="I236" s="5"/>
      <c r="J236" s="5"/>
      <c r="K236" s="5"/>
      <c r="L236" s="5"/>
      <c r="M236" s="9"/>
      <c r="N236" s="9"/>
      <c r="O236" s="9"/>
      <c r="P236" s="18"/>
      <c r="Q236" s="339"/>
    </row>
    <row r="237" spans="2:26" ht="12.75">
      <c r="B237" s="18"/>
      <c r="C237" s="18"/>
      <c r="D237" s="14" t="s">
        <v>249</v>
      </c>
      <c r="E237" s="728" t="str">
        <f>Translations!$B$350</f>
        <v>Identificativo univoco fornito dall'autorità competente:</v>
      </c>
      <c r="F237" s="724"/>
      <c r="G237" s="724"/>
      <c r="H237" s="724"/>
      <c r="I237" s="808"/>
      <c r="J237" s="817"/>
      <c r="K237" s="818"/>
      <c r="L237" s="818"/>
      <c r="M237" s="818"/>
      <c r="N237" s="819"/>
      <c r="O237" s="18"/>
      <c r="P237" s="18"/>
      <c r="Z237" s="447" t="b">
        <f>Z235</f>
        <v>0</v>
      </c>
    </row>
    <row r="238" spans="2:16" ht="12.75" customHeight="1">
      <c r="B238" s="18"/>
      <c r="C238" s="18"/>
      <c r="D238" s="18"/>
      <c r="E238" s="784" t="str">
        <f>Translations!$B$1033</f>
        <v>Si tratta del numero di autorizzazione ad emettere gas ad effetto serra riportato nella deliberazione di rilascio dell'autorizzazione.</v>
      </c>
      <c r="F238" s="724"/>
      <c r="G238" s="724"/>
      <c r="H238" s="724"/>
      <c r="I238" s="724"/>
      <c r="J238" s="724"/>
      <c r="K238" s="724"/>
      <c r="L238" s="724"/>
      <c r="M238" s="724"/>
      <c r="N238" s="724"/>
      <c r="O238" s="18"/>
      <c r="P238" s="18"/>
    </row>
    <row r="239" spans="2:17" ht="4.5" customHeight="1">
      <c r="B239" s="5"/>
      <c r="C239" s="5"/>
      <c r="D239" s="5"/>
      <c r="E239" s="5"/>
      <c r="F239" s="5"/>
      <c r="G239" s="5"/>
      <c r="H239" s="5"/>
      <c r="I239" s="5"/>
      <c r="J239" s="5"/>
      <c r="K239" s="5"/>
      <c r="L239" s="5"/>
      <c r="M239" s="9"/>
      <c r="N239" s="9"/>
      <c r="O239" s="9"/>
      <c r="P239" s="18"/>
      <c r="Q239" s="339"/>
    </row>
    <row r="240" spans="2:26" ht="12.75">
      <c r="B240" s="18"/>
      <c r="C240" s="18"/>
      <c r="D240" s="14" t="s">
        <v>458</v>
      </c>
      <c r="E240" s="728" t="str">
        <f>Translations!$B$352</f>
        <v>Codice identificativo dell'impianto nel registro:</v>
      </c>
      <c r="F240" s="724"/>
      <c r="G240" s="724"/>
      <c r="H240" s="724"/>
      <c r="I240" s="808"/>
      <c r="J240" s="809"/>
      <c r="K240" s="810"/>
      <c r="L240" s="810"/>
      <c r="M240" s="810"/>
      <c r="N240" s="811"/>
      <c r="O240" s="18"/>
      <c r="P240" s="18"/>
      <c r="Z240" s="447" t="b">
        <f>Z237</f>
        <v>0</v>
      </c>
    </row>
    <row r="241" spans="2:16" ht="12.75">
      <c r="B241" s="18"/>
      <c r="C241" s="18"/>
      <c r="D241" s="14"/>
      <c r="E241" s="784" t="str">
        <f>Translations!$B$353</f>
        <v>Di norma si tratta di un numero naturale, ossia un codice diverso da quello identificativo dell'autorizzazione utilizzato nel registro, corrispondente all'"installation identifier" presente sul registro.</v>
      </c>
      <c r="F241" s="724"/>
      <c r="G241" s="724"/>
      <c r="H241" s="724"/>
      <c r="I241" s="724"/>
      <c r="J241" s="724"/>
      <c r="K241" s="724"/>
      <c r="L241" s="724"/>
      <c r="M241" s="724"/>
      <c r="N241" s="724"/>
      <c r="O241" s="18"/>
      <c r="P241" s="18"/>
    </row>
    <row r="242" spans="2:16" ht="12.75">
      <c r="B242" s="18"/>
      <c r="C242" s="18"/>
      <c r="D242" s="14"/>
      <c r="E242" s="784" t="str">
        <f>Translations!$B$1575</f>
        <v>Qualora il codice identificativo unico venga inserito manualmente nel registro al punto ii) in appresso, deve rispettare il formato seguente ""IT000000000012345"</v>
      </c>
      <c r="F242" s="724"/>
      <c r="G242" s="724"/>
      <c r="H242" s="724"/>
      <c r="I242" s="724"/>
      <c r="J242" s="724"/>
      <c r="K242" s="724"/>
      <c r="L242" s="724"/>
      <c r="M242" s="724"/>
      <c r="N242" s="724"/>
      <c r="O242" s="18"/>
      <c r="P242" s="18"/>
    </row>
    <row r="243" spans="2:17" ht="4.5" customHeight="1">
      <c r="B243" s="5"/>
      <c r="C243" s="5"/>
      <c r="D243" s="5"/>
      <c r="E243" s="5"/>
      <c r="F243" s="5"/>
      <c r="G243" s="5"/>
      <c r="H243" s="5"/>
      <c r="I243" s="5"/>
      <c r="J243" s="5"/>
      <c r="K243" s="5"/>
      <c r="L243" s="5"/>
      <c r="M243" s="9"/>
      <c r="N243" s="9"/>
      <c r="O243" s="9"/>
      <c r="P243" s="18"/>
      <c r="Q243" s="339"/>
    </row>
    <row r="244" spans="2:16" ht="12.75" customHeight="1">
      <c r="B244" s="18"/>
      <c r="C244" s="18"/>
      <c r="D244" s="14"/>
      <c r="E244" s="321" t="s">
        <v>427</v>
      </c>
      <c r="F244" s="800" t="str">
        <f>Translations!$B$1544</f>
        <v>Codice identificativo unico automatico</v>
      </c>
      <c r="G244" s="800"/>
      <c r="H244" s="800"/>
      <c r="I244" s="801"/>
      <c r="J244" s="788">
        <f>IF(AND($J$51&lt;&gt;"",J240&lt;&gt;""),CONCATENATE(INDEX(EUconst_MSlistISOcodes,MATCH($J$51,EUconst_MSlist,0)),TEXT(J240,"000000000000000")),"")</f>
      </c>
      <c r="K244" s="789"/>
      <c r="L244" s="789"/>
      <c r="M244" s="789"/>
      <c r="N244" s="790"/>
      <c r="O244" s="18"/>
      <c r="P244" s="18"/>
    </row>
    <row r="245" spans="2:26" ht="12.75" customHeight="1">
      <c r="B245" s="18"/>
      <c r="C245" s="18"/>
      <c r="D245" s="18"/>
      <c r="E245" s="321" t="s">
        <v>428</v>
      </c>
      <c r="F245" s="802" t="str">
        <f>Translations!$B$1545</f>
        <v>Inserimento manuale (se i. non è corretto)</v>
      </c>
      <c r="G245" s="802"/>
      <c r="H245" s="802"/>
      <c r="I245" s="803"/>
      <c r="J245" s="906"/>
      <c r="K245" s="907"/>
      <c r="L245" s="907"/>
      <c r="M245" s="907"/>
      <c r="N245" s="908"/>
      <c r="O245" s="18"/>
      <c r="P245" s="18"/>
      <c r="Z245" s="447" t="b">
        <f>Z240</f>
        <v>0</v>
      </c>
    </row>
    <row r="246" spans="2:19" ht="12.75" customHeight="1">
      <c r="B246" s="18"/>
      <c r="C246" s="18"/>
      <c r="D246" s="18"/>
      <c r="E246" s="321" t="s">
        <v>429</v>
      </c>
      <c r="F246" s="804" t="str">
        <f>Translations!$B$1542</f>
        <v>Codice identificativo unico utilizzato per la notifica</v>
      </c>
      <c r="G246" s="804"/>
      <c r="H246" s="804"/>
      <c r="I246" s="805"/>
      <c r="J246" s="797">
        <f>IF(CNTR_MergerORSplitORTransfer=2,J272,IF(J245="",J244,J245))</f>
      </c>
      <c r="K246" s="798"/>
      <c r="L246" s="798"/>
      <c r="M246" s="798"/>
      <c r="N246" s="799"/>
      <c r="O246" s="18"/>
      <c r="P246" s="18"/>
      <c r="R246" s="342">
        <f>C232</f>
        <v>2</v>
      </c>
      <c r="S246" s="495">
        <f>J235</f>
        <v>0</v>
      </c>
    </row>
    <row r="247" spans="2:26" ht="25.5" customHeight="1" thickBot="1">
      <c r="B247" s="5"/>
      <c r="C247" s="344"/>
      <c r="D247" s="344"/>
      <c r="E247" s="368"/>
      <c r="F247" s="368"/>
      <c r="G247" s="368"/>
      <c r="H247" s="368"/>
      <c r="I247" s="369"/>
      <c r="J247" s="373"/>
      <c r="K247" s="344"/>
      <c r="L247" s="344"/>
      <c r="M247" s="344"/>
      <c r="N247" s="344"/>
      <c r="O247" s="322"/>
      <c r="P247" s="18"/>
      <c r="Q247" s="440"/>
      <c r="R247" s="440"/>
      <c r="S247" s="440"/>
      <c r="T247" s="440"/>
      <c r="U247" s="440"/>
      <c r="V247" s="440"/>
      <c r="W247" s="440"/>
      <c r="X247" s="440"/>
      <c r="Y247" s="440"/>
      <c r="Z247" s="440"/>
    </row>
    <row r="248" spans="2:16" ht="12.75">
      <c r="B248" s="18"/>
      <c r="C248" s="18"/>
      <c r="D248" s="18"/>
      <c r="E248" s="18"/>
      <c r="F248" s="18"/>
      <c r="G248" s="18"/>
      <c r="H248" s="18"/>
      <c r="I248" s="18"/>
      <c r="J248" s="18"/>
      <c r="K248" s="18"/>
      <c r="L248" s="18"/>
      <c r="M248" s="18"/>
      <c r="N248" s="18"/>
      <c r="O248" s="18"/>
      <c r="P248" s="18"/>
    </row>
    <row r="249" spans="2:16" ht="15" customHeight="1">
      <c r="B249" s="18"/>
      <c r="C249" s="16">
        <v>3</v>
      </c>
      <c r="D249" s="840" t="str">
        <f>Translations!$B$1493&amp;" "&amp;C249</f>
        <v>Impianto DOPO la fusione, la scissione o il trasferimento (per il quale viene presentata la presente domanda) 3</v>
      </c>
      <c r="E249" s="724"/>
      <c r="F249" s="724"/>
      <c r="G249" s="724"/>
      <c r="H249" s="724"/>
      <c r="I249" s="724"/>
      <c r="J249" s="724"/>
      <c r="K249" s="724"/>
      <c r="L249" s="724"/>
      <c r="M249" s="724"/>
      <c r="N249" s="724"/>
      <c r="O249" s="18"/>
      <c r="P249" s="18"/>
    </row>
    <row r="250" spans="2:17" ht="12.75" customHeight="1">
      <c r="B250" s="5"/>
      <c r="C250" s="5"/>
      <c r="D250" s="813" t="str">
        <f>Translations!$B$1546</f>
        <v>Nota: Si tratta dell’impianto per il quale viene presentata la domanda. I dati immessi qui sono pertanto identici a quelli di cui alla sezione II.</v>
      </c>
      <c r="E250" s="813"/>
      <c r="F250" s="813"/>
      <c r="G250" s="813"/>
      <c r="H250" s="813"/>
      <c r="I250" s="813"/>
      <c r="J250" s="813"/>
      <c r="K250" s="813"/>
      <c r="L250" s="813"/>
      <c r="M250" s="813"/>
      <c r="N250" s="813"/>
      <c r="O250" s="9"/>
      <c r="P250" s="18"/>
      <c r="Q250" s="339"/>
    </row>
    <row r="251" spans="2:17" ht="4.5" customHeight="1">
      <c r="B251" s="5"/>
      <c r="C251" s="5"/>
      <c r="D251" s="5"/>
      <c r="E251" s="5"/>
      <c r="F251" s="5"/>
      <c r="G251" s="5"/>
      <c r="H251" s="5"/>
      <c r="I251" s="5"/>
      <c r="J251" s="5"/>
      <c r="K251" s="5"/>
      <c r="L251" s="5"/>
      <c r="M251" s="9"/>
      <c r="N251" s="9"/>
      <c r="O251" s="9"/>
      <c r="P251" s="18"/>
      <c r="Q251" s="339"/>
    </row>
    <row r="252" spans="2:16" ht="12.75" customHeight="1">
      <c r="B252" s="18"/>
      <c r="C252" s="18"/>
      <c r="D252" s="99" t="s">
        <v>462</v>
      </c>
      <c r="E252" s="728" t="str">
        <f>Translations!$B$346</f>
        <v>Denominazione dell'impianto:</v>
      </c>
      <c r="F252" s="724"/>
      <c r="G252" s="724"/>
      <c r="H252" s="724"/>
      <c r="I252" s="808"/>
      <c r="J252" s="797">
        <f>IF(ISBLANK(J48),"",J48)</f>
      </c>
      <c r="K252" s="798"/>
      <c r="L252" s="798"/>
      <c r="M252" s="798"/>
      <c r="N252" s="799"/>
      <c r="O252" s="18"/>
      <c r="P252" s="18"/>
    </row>
    <row r="253" spans="2:17" ht="4.5" customHeight="1">
      <c r="B253" s="5"/>
      <c r="C253" s="5"/>
      <c r="D253" s="5"/>
      <c r="E253" s="5"/>
      <c r="F253" s="5"/>
      <c r="G253" s="5"/>
      <c r="H253" s="5"/>
      <c r="I253" s="5"/>
      <c r="J253" s="5"/>
      <c r="K253" s="5"/>
      <c r="L253" s="5"/>
      <c r="M253" s="9"/>
      <c r="N253" s="9"/>
      <c r="O253" s="9"/>
      <c r="P253" s="18"/>
      <c r="Q253" s="339"/>
    </row>
    <row r="254" spans="2:16" ht="12.75">
      <c r="B254" s="18"/>
      <c r="C254" s="18"/>
      <c r="D254" s="14" t="s">
        <v>249</v>
      </c>
      <c r="E254" s="728" t="str">
        <f>Translations!$B$350</f>
        <v>Identificativo univoco fornito dall'autorità competente:</v>
      </c>
      <c r="F254" s="724"/>
      <c r="G254" s="724"/>
      <c r="H254" s="724"/>
      <c r="I254" s="808"/>
      <c r="J254" s="797">
        <f>IF(ISBLANK(J56),"",J56)</f>
      </c>
      <c r="K254" s="798"/>
      <c r="L254" s="798"/>
      <c r="M254" s="798"/>
      <c r="N254" s="799"/>
      <c r="O254" s="18"/>
      <c r="P254" s="18"/>
    </row>
    <row r="255" spans="2:17" ht="4.5" customHeight="1">
      <c r="B255" s="5"/>
      <c r="C255" s="5"/>
      <c r="D255" s="5"/>
      <c r="E255" s="5"/>
      <c r="F255" s="5"/>
      <c r="G255" s="5"/>
      <c r="H255" s="5"/>
      <c r="I255" s="5"/>
      <c r="J255" s="5"/>
      <c r="K255" s="5"/>
      <c r="L255" s="5"/>
      <c r="M255" s="9"/>
      <c r="N255" s="9"/>
      <c r="O255" s="9"/>
      <c r="P255" s="18"/>
      <c r="Q255" s="339"/>
    </row>
    <row r="256" spans="2:19" ht="12.75" customHeight="1">
      <c r="B256" s="18"/>
      <c r="C256" s="18"/>
      <c r="D256" s="14" t="s">
        <v>458</v>
      </c>
      <c r="E256" s="728" t="str">
        <f>Translations!$B$354</f>
        <v>Identificativo univoco suggerito per la notifica alla Commissione:</v>
      </c>
      <c r="F256" s="724"/>
      <c r="G256" s="724"/>
      <c r="H256" s="724"/>
      <c r="I256" s="808"/>
      <c r="J256" s="909">
        <f>CNTR_UniqueID</f>
      </c>
      <c r="K256" s="909"/>
      <c r="L256" s="909"/>
      <c r="M256" s="909"/>
      <c r="N256" s="909"/>
      <c r="O256" s="18"/>
      <c r="P256" s="18"/>
      <c r="R256" s="342">
        <f>C249</f>
        <v>3</v>
      </c>
      <c r="S256" s="343">
        <f>J252</f>
      </c>
    </row>
    <row r="257" spans="2:16" ht="12.75">
      <c r="B257" s="18"/>
      <c r="C257" s="18"/>
      <c r="D257" s="18"/>
      <c r="E257" s="18"/>
      <c r="F257" s="18"/>
      <c r="G257" s="18"/>
      <c r="H257" s="18"/>
      <c r="I257" s="18"/>
      <c r="J257" s="18"/>
      <c r="K257" s="18"/>
      <c r="L257" s="18"/>
      <c r="M257" s="18"/>
      <c r="N257" s="18"/>
      <c r="O257" s="18"/>
      <c r="P257" s="18"/>
    </row>
    <row r="258" spans="2:16" ht="15" customHeight="1">
      <c r="B258" s="18"/>
      <c r="C258" s="16">
        <v>4</v>
      </c>
      <c r="D258" s="840" t="str">
        <f>Translations!$B$1494&amp;" "&amp;C258</f>
        <v>Impianto DOPO la fusione, la scissione o il trasferimento 4</v>
      </c>
      <c r="E258" s="724"/>
      <c r="F258" s="724"/>
      <c r="G258" s="724"/>
      <c r="H258" s="724"/>
      <c r="I258" s="724"/>
      <c r="J258" s="724"/>
      <c r="K258" s="724"/>
      <c r="L258" s="724"/>
      <c r="M258" s="724"/>
      <c r="N258" s="724"/>
      <c r="O258" s="18"/>
      <c r="P258" s="18"/>
    </row>
    <row r="259" spans="2:17" ht="12.75" customHeight="1">
      <c r="B259" s="5"/>
      <c r="C259" s="5"/>
      <c r="D259" s="813" t="str">
        <f>Translations!$B$1547</f>
        <v>Se è coinvolto un solo impianto DOPO la fusione, la scissione o il trasferimento, la presente sezione deve essere lasciata vuota.</v>
      </c>
      <c r="E259" s="813"/>
      <c r="F259" s="813"/>
      <c r="G259" s="813"/>
      <c r="H259" s="813"/>
      <c r="I259" s="813"/>
      <c r="J259" s="813"/>
      <c r="K259" s="813"/>
      <c r="L259" s="813"/>
      <c r="M259" s="813"/>
      <c r="N259" s="813"/>
      <c r="O259" s="9"/>
      <c r="P259" s="18"/>
      <c r="Q259" s="339"/>
    </row>
    <row r="260" spans="2:17" ht="4.5" customHeight="1">
      <c r="B260" s="5"/>
      <c r="C260" s="5"/>
      <c r="D260" s="5"/>
      <c r="E260" s="5"/>
      <c r="F260" s="5"/>
      <c r="G260" s="5"/>
      <c r="H260" s="5"/>
      <c r="I260" s="5"/>
      <c r="J260" s="5"/>
      <c r="K260" s="5"/>
      <c r="L260" s="5"/>
      <c r="M260" s="9"/>
      <c r="N260" s="9"/>
      <c r="O260" s="9"/>
      <c r="P260" s="18"/>
      <c r="Q260" s="339"/>
    </row>
    <row r="261" spans="2:26" ht="12.75">
      <c r="B261" s="18"/>
      <c r="C261" s="18"/>
      <c r="D261" s="99" t="s">
        <v>462</v>
      </c>
      <c r="E261" s="728" t="str">
        <f>Translations!$B$346</f>
        <v>Denominazione dell'impianto:</v>
      </c>
      <c r="F261" s="724"/>
      <c r="G261" s="724"/>
      <c r="H261" s="724"/>
      <c r="I261" s="808"/>
      <c r="J261" s="817"/>
      <c r="K261" s="818"/>
      <c r="L261" s="818"/>
      <c r="M261" s="818"/>
      <c r="N261" s="819"/>
      <c r="O261" s="18"/>
      <c r="P261" s="18"/>
      <c r="Z261" s="447" t="b">
        <f>R15=1</f>
        <v>0</v>
      </c>
    </row>
    <row r="262" spans="2:17" ht="4.5" customHeight="1">
      <c r="B262" s="5"/>
      <c r="C262" s="5"/>
      <c r="D262" s="5"/>
      <c r="E262" s="5"/>
      <c r="F262" s="5"/>
      <c r="G262" s="5"/>
      <c r="H262" s="5"/>
      <c r="I262" s="5"/>
      <c r="J262" s="5"/>
      <c r="K262" s="5"/>
      <c r="L262" s="5"/>
      <c r="M262" s="9"/>
      <c r="N262" s="9"/>
      <c r="O262" s="9"/>
      <c r="P262" s="18"/>
      <c r="Q262" s="339"/>
    </row>
    <row r="263" spans="2:26" ht="12.75">
      <c r="B263" s="18"/>
      <c r="C263" s="18"/>
      <c r="D263" s="14" t="s">
        <v>249</v>
      </c>
      <c r="E263" s="728" t="str">
        <f>Translations!$B$350</f>
        <v>Identificativo univoco fornito dall'autorità competente:</v>
      </c>
      <c r="F263" s="724"/>
      <c r="G263" s="724"/>
      <c r="H263" s="724"/>
      <c r="I263" s="808"/>
      <c r="J263" s="817"/>
      <c r="K263" s="818"/>
      <c r="L263" s="818"/>
      <c r="M263" s="818"/>
      <c r="N263" s="819"/>
      <c r="O263" s="18"/>
      <c r="P263" s="18"/>
      <c r="Z263" s="447" t="b">
        <f>Z261</f>
        <v>0</v>
      </c>
    </row>
    <row r="264" spans="2:16" ht="12.75" customHeight="1">
      <c r="B264" s="18"/>
      <c r="C264" s="18"/>
      <c r="D264" s="18"/>
      <c r="E264" s="784" t="str">
        <f>Translations!$B$1033</f>
        <v>Si tratta del numero di autorizzazione ad emettere gas ad effetto serra riportato nella deliberazione di rilascio dell'autorizzazione.</v>
      </c>
      <c r="F264" s="724"/>
      <c r="G264" s="724"/>
      <c r="H264" s="724"/>
      <c r="I264" s="724"/>
      <c r="J264" s="724"/>
      <c r="K264" s="724"/>
      <c r="L264" s="724"/>
      <c r="M264" s="724"/>
      <c r="N264" s="724"/>
      <c r="O264" s="18"/>
      <c r="P264" s="18"/>
    </row>
    <row r="265" spans="2:17" ht="4.5" customHeight="1">
      <c r="B265" s="5"/>
      <c r="C265" s="5"/>
      <c r="D265" s="5"/>
      <c r="E265" s="5"/>
      <c r="F265" s="5"/>
      <c r="G265" s="5"/>
      <c r="H265" s="5"/>
      <c r="I265" s="5"/>
      <c r="J265" s="5"/>
      <c r="K265" s="5"/>
      <c r="L265" s="5"/>
      <c r="M265" s="9"/>
      <c r="N265" s="9"/>
      <c r="O265" s="9"/>
      <c r="P265" s="18"/>
      <c r="Q265" s="339"/>
    </row>
    <row r="266" spans="2:26" ht="12.75">
      <c r="B266" s="18"/>
      <c r="C266" s="18"/>
      <c r="D266" s="14" t="s">
        <v>458</v>
      </c>
      <c r="E266" s="728" t="str">
        <f>Translations!$B$352</f>
        <v>Codice identificativo dell'impianto nel registro:</v>
      </c>
      <c r="F266" s="724"/>
      <c r="G266" s="724"/>
      <c r="H266" s="724"/>
      <c r="I266" s="808"/>
      <c r="J266" s="809"/>
      <c r="K266" s="810"/>
      <c r="L266" s="810"/>
      <c r="M266" s="810"/>
      <c r="N266" s="811"/>
      <c r="O266" s="18"/>
      <c r="P266" s="18"/>
      <c r="Z266" s="447" t="b">
        <f>Z263</f>
        <v>0</v>
      </c>
    </row>
    <row r="267" spans="2:16" ht="12.75">
      <c r="B267" s="18"/>
      <c r="C267" s="18"/>
      <c r="D267" s="14"/>
      <c r="E267" s="784" t="str">
        <f>Translations!$B$353</f>
        <v>Di norma si tratta di un numero naturale, ossia un codice diverso da quello identificativo dell'autorizzazione utilizzato nel registro, corrispondente all'"installation identifier" presente sul registro.</v>
      </c>
      <c r="F267" s="724"/>
      <c r="G267" s="724"/>
      <c r="H267" s="724"/>
      <c r="I267" s="724"/>
      <c r="J267" s="724"/>
      <c r="K267" s="724"/>
      <c r="L267" s="724"/>
      <c r="M267" s="724"/>
      <c r="N267" s="724"/>
      <c r="O267" s="18"/>
      <c r="P267" s="18"/>
    </row>
    <row r="268" spans="2:16" ht="12.75">
      <c r="B268" s="18"/>
      <c r="C268" s="18"/>
      <c r="D268" s="14"/>
      <c r="E268" s="784" t="str">
        <f>Translations!$B$1575</f>
        <v>Qualora il codice identificativo unico venga inserito manualmente nel registro al punto ii) in appresso, deve rispettare il formato seguente ""IT000000000012345"</v>
      </c>
      <c r="F268" s="724"/>
      <c r="G268" s="724"/>
      <c r="H268" s="724"/>
      <c r="I268" s="724"/>
      <c r="J268" s="724"/>
      <c r="K268" s="724"/>
      <c r="L268" s="724"/>
      <c r="M268" s="724"/>
      <c r="N268" s="724"/>
      <c r="O268" s="18"/>
      <c r="P268" s="18"/>
    </row>
    <row r="269" spans="2:17" ht="4.5" customHeight="1">
      <c r="B269" s="5"/>
      <c r="C269" s="5"/>
      <c r="D269" s="5"/>
      <c r="E269" s="5"/>
      <c r="F269" s="5"/>
      <c r="G269" s="5"/>
      <c r="H269" s="5"/>
      <c r="I269" s="5"/>
      <c r="J269" s="5"/>
      <c r="K269" s="5"/>
      <c r="L269" s="5"/>
      <c r="M269" s="9"/>
      <c r="N269" s="9"/>
      <c r="O269" s="9"/>
      <c r="P269" s="18"/>
      <c r="Q269" s="339"/>
    </row>
    <row r="270" spans="2:16" ht="12.75" customHeight="1">
      <c r="B270" s="18"/>
      <c r="C270" s="18"/>
      <c r="D270" s="14"/>
      <c r="E270" s="321" t="s">
        <v>427</v>
      </c>
      <c r="F270" s="800" t="str">
        <f>Translations!$B$1544</f>
        <v>Codice identificativo unico automatico</v>
      </c>
      <c r="G270" s="800"/>
      <c r="H270" s="800"/>
      <c r="I270" s="801"/>
      <c r="J270" s="788">
        <f>IF(AND($J$51&lt;&gt;"",J266&lt;&gt;""),CONCATENATE(INDEX(EUconst_MSlistISOcodes,MATCH($J$51,EUconst_MSlist,0)),TEXT(J266,"000000000000000")),"")</f>
      </c>
      <c r="K270" s="789"/>
      <c r="L270" s="789"/>
      <c r="M270" s="789"/>
      <c r="N270" s="790"/>
      <c r="O270" s="18"/>
      <c r="P270" s="18"/>
    </row>
    <row r="271" spans="2:26" ht="12.75" customHeight="1">
      <c r="B271" s="18"/>
      <c r="C271" s="18"/>
      <c r="D271" s="18"/>
      <c r="E271" s="321" t="s">
        <v>428</v>
      </c>
      <c r="F271" s="802" t="str">
        <f>Translations!$B$1545</f>
        <v>Inserimento manuale (se i. non è corretto)</v>
      </c>
      <c r="G271" s="802"/>
      <c r="H271" s="802"/>
      <c r="I271" s="803"/>
      <c r="J271" s="906"/>
      <c r="K271" s="907"/>
      <c r="L271" s="907"/>
      <c r="M271" s="907"/>
      <c r="N271" s="908"/>
      <c r="O271" s="18"/>
      <c r="P271" s="18"/>
      <c r="Z271" s="447" t="b">
        <f>Z266</f>
        <v>0</v>
      </c>
    </row>
    <row r="272" spans="2:19" ht="12.75" customHeight="1">
      <c r="B272" s="18"/>
      <c r="C272" s="18"/>
      <c r="D272" s="18"/>
      <c r="E272" s="321" t="s">
        <v>429</v>
      </c>
      <c r="F272" s="804" t="str">
        <f>Translations!$B$1542</f>
        <v>Codice identificativo unico utilizzato per la notifica</v>
      </c>
      <c r="G272" s="804"/>
      <c r="H272" s="804"/>
      <c r="I272" s="805"/>
      <c r="J272" s="797">
        <f>IF(CNTR_MergerORSplitORTransfer=1,J246,IF(J271="",J270,J271))</f>
      </c>
      <c r="K272" s="798"/>
      <c r="L272" s="798"/>
      <c r="M272" s="798"/>
      <c r="N272" s="799"/>
      <c r="O272" s="18"/>
      <c r="P272" s="18"/>
      <c r="R272" s="342">
        <f>C258</f>
        <v>4</v>
      </c>
      <c r="S272" s="495">
        <f>J261</f>
        <v>0</v>
      </c>
    </row>
    <row r="273" spans="2:16" ht="38.25" customHeight="1">
      <c r="B273" s="18"/>
      <c r="C273" s="18"/>
      <c r="D273" s="18"/>
      <c r="E273" s="18"/>
      <c r="F273" s="18"/>
      <c r="G273" s="18"/>
      <c r="H273" s="18"/>
      <c r="I273" s="18"/>
      <c r="J273" s="18"/>
      <c r="K273" s="18"/>
      <c r="L273" s="18"/>
      <c r="M273" s="18"/>
      <c r="N273" s="18"/>
      <c r="O273" s="18"/>
      <c r="P273" s="18"/>
    </row>
    <row r="274" spans="2:18" ht="12.75" customHeight="1">
      <c r="B274" s="18"/>
      <c r="C274" s="18"/>
      <c r="D274" s="709" t="str">
        <f>HYPERLINK(R274,Translations!$B$336)</f>
        <v>&lt;&lt;&lt; Cliccare qui per passare al foglio successivo &gt;&gt;&gt; </v>
      </c>
      <c r="E274" s="710"/>
      <c r="F274" s="710"/>
      <c r="G274" s="710"/>
      <c r="H274" s="710"/>
      <c r="I274" s="710"/>
      <c r="J274" s="710"/>
      <c r="K274" s="710"/>
      <c r="L274" s="710"/>
      <c r="M274" s="710"/>
      <c r="N274" s="710"/>
      <c r="O274" s="18"/>
      <c r="P274" s="18"/>
      <c r="R274" s="450" t="str">
        <f>$W$2</f>
        <v>#B_InitialSituation!$C$6</v>
      </c>
    </row>
    <row r="275" spans="2:16" ht="12.75">
      <c r="B275" s="18"/>
      <c r="C275" s="18"/>
      <c r="D275" s="18"/>
      <c r="E275" s="18"/>
      <c r="F275" s="18"/>
      <c r="G275" s="18"/>
      <c r="H275" s="18"/>
      <c r="I275" s="18"/>
      <c r="J275" s="18"/>
      <c r="K275" s="18"/>
      <c r="L275" s="18"/>
      <c r="M275" s="18"/>
      <c r="N275" s="18"/>
      <c r="O275" s="18"/>
      <c r="P275" s="18"/>
    </row>
    <row r="276" spans="1:26" ht="12.75" hidden="1">
      <c r="A276" s="4" t="s">
        <v>484</v>
      </c>
      <c r="B276" s="4" t="s">
        <v>74</v>
      </c>
      <c r="C276" s="4" t="s">
        <v>74</v>
      </c>
      <c r="D276" s="4" t="s">
        <v>74</v>
      </c>
      <c r="E276" s="4" t="s">
        <v>74</v>
      </c>
      <c r="F276" s="4" t="s">
        <v>74</v>
      </c>
      <c r="G276" s="4"/>
      <c r="H276" s="4" t="s">
        <v>74</v>
      </c>
      <c r="I276" s="4" t="s">
        <v>74</v>
      </c>
      <c r="J276" s="4" t="s">
        <v>74</v>
      </c>
      <c r="K276" s="4" t="s">
        <v>74</v>
      </c>
      <c r="L276" s="4" t="s">
        <v>74</v>
      </c>
      <c r="M276" s="4" t="s">
        <v>74</v>
      </c>
      <c r="N276" s="4" t="s">
        <v>74</v>
      </c>
      <c r="O276" s="4" t="s">
        <v>74</v>
      </c>
      <c r="P276" s="4"/>
      <c r="Q276" s="333" t="s">
        <v>74</v>
      </c>
      <c r="R276" s="333" t="s">
        <v>74</v>
      </c>
      <c r="S276" s="333" t="s">
        <v>74</v>
      </c>
      <c r="T276" s="333" t="s">
        <v>74</v>
      </c>
      <c r="U276" s="333" t="s">
        <v>74</v>
      </c>
      <c r="V276" s="333" t="s">
        <v>74</v>
      </c>
      <c r="W276" s="333" t="s">
        <v>74</v>
      </c>
      <c r="X276" s="333" t="s">
        <v>74</v>
      </c>
      <c r="Z276" s="333" t="s">
        <v>74</v>
      </c>
    </row>
    <row r="277" spans="1:16" ht="12.75" hidden="1">
      <c r="A277" s="4" t="s">
        <v>484</v>
      </c>
      <c r="B277" s="3"/>
      <c r="C277" s="3"/>
      <c r="D277" s="3"/>
      <c r="E277" s="3"/>
      <c r="F277" s="3"/>
      <c r="G277" s="3"/>
      <c r="H277" s="3"/>
      <c r="I277" s="3"/>
      <c r="J277" s="3"/>
      <c r="K277" s="3"/>
      <c r="L277" s="3"/>
      <c r="M277" s="3"/>
      <c r="N277" s="3"/>
      <c r="O277" s="3"/>
      <c r="P277" s="3"/>
    </row>
    <row r="278" spans="1:16" ht="13.5" hidden="1" thickBot="1">
      <c r="A278" s="4" t="s">
        <v>484</v>
      </c>
      <c r="B278" s="3"/>
      <c r="C278" s="3"/>
      <c r="D278" s="27"/>
      <c r="E278" s="3"/>
      <c r="F278" s="3"/>
      <c r="G278" s="3"/>
      <c r="H278" s="3"/>
      <c r="I278" s="3"/>
      <c r="J278" s="3"/>
      <c r="K278" s="3"/>
      <c r="L278" s="3"/>
      <c r="M278" s="3"/>
      <c r="N278" s="3"/>
      <c r="O278" s="3"/>
      <c r="P278" s="3"/>
    </row>
    <row r="279" spans="1:16" ht="12.75" hidden="1">
      <c r="A279" s="4" t="s">
        <v>484</v>
      </c>
      <c r="B279" s="3"/>
      <c r="C279" s="3"/>
      <c r="D279" s="27"/>
      <c r="E279" s="81"/>
      <c r="F279" s="35"/>
      <c r="G279" s="35"/>
      <c r="H279" s="35"/>
      <c r="I279" s="35"/>
      <c r="J279" s="35"/>
      <c r="K279" s="35"/>
      <c r="L279" s="35"/>
      <c r="M279" s="35"/>
      <c r="N279" s="36"/>
      <c r="O279" s="3"/>
      <c r="P279" s="3"/>
    </row>
    <row r="280" spans="1:16" ht="13.5" hidden="1" thickBot="1">
      <c r="A280" s="4" t="s">
        <v>484</v>
      </c>
      <c r="B280" s="3"/>
      <c r="C280" s="3"/>
      <c r="D280" s="3"/>
      <c r="E280" s="356" t="s">
        <v>250</v>
      </c>
      <c r="F280" s="357"/>
      <c r="G280" s="357"/>
      <c r="H280" s="357"/>
      <c r="I280" s="358">
        <v>1</v>
      </c>
      <c r="J280" s="358">
        <v>2</v>
      </c>
      <c r="K280" s="358">
        <v>3</v>
      </c>
      <c r="L280" s="358">
        <v>4</v>
      </c>
      <c r="M280" s="358">
        <v>5</v>
      </c>
      <c r="N280" s="359">
        <v>6</v>
      </c>
      <c r="O280" s="3"/>
      <c r="P280" s="3"/>
    </row>
    <row r="281" spans="1:16" ht="13.5" hidden="1" thickBot="1">
      <c r="A281" s="4" t="s">
        <v>484</v>
      </c>
      <c r="B281" s="3"/>
      <c r="C281" s="3"/>
      <c r="D281" s="3"/>
      <c r="E281" s="3"/>
      <c r="F281" s="3"/>
      <c r="G281" s="3"/>
      <c r="H281" s="3"/>
      <c r="I281" s="27"/>
      <c r="J281" s="317"/>
      <c r="K281" s="317"/>
      <c r="L281" s="27"/>
      <c r="M281" s="27"/>
      <c r="N281" s="27"/>
      <c r="O281" s="3"/>
      <c r="P281" s="3"/>
    </row>
    <row r="282" spans="1:16" ht="13.5" hidden="1" thickBot="1">
      <c r="A282" s="4" t="s">
        <v>484</v>
      </c>
      <c r="B282" s="3"/>
      <c r="C282" s="3"/>
      <c r="D282" s="3"/>
      <c r="E282" s="27" t="s">
        <v>87</v>
      </c>
      <c r="F282" s="3"/>
      <c r="G282" s="204" t="b">
        <f>COUNTA(E13,L15,L18,M18,N18,N26,E32,E36)&gt;0</f>
        <v>0</v>
      </c>
      <c r="H282" s="3" t="s">
        <v>88</v>
      </c>
      <c r="I282" s="27"/>
      <c r="J282" s="317"/>
      <c r="K282" s="317"/>
      <c r="L282" s="27"/>
      <c r="M282" s="27"/>
      <c r="N282" s="27"/>
      <c r="O282" s="3"/>
      <c r="P282" s="3"/>
    </row>
    <row r="283" spans="1:16" ht="13.5" hidden="1" thickBot="1">
      <c r="A283" s="4" t="s">
        <v>484</v>
      </c>
      <c r="B283" s="3"/>
      <c r="C283" s="3"/>
      <c r="D283" s="3"/>
      <c r="E283" s="27" t="s">
        <v>555</v>
      </c>
      <c r="F283" s="3"/>
      <c r="G283" s="204" t="b">
        <f>(COUNTA(E13,L15,L18,M18,N18,N26,E32,E36)+COUNTA(J48,J51,J54,J56,J61,J69,J72,J73,J76,J77,J81,J82,J83,J84,J85,J86,J87,J88,J89,J92,J93,J94,J95,J101,J102,J103)+COUNTA(J104,J107,J108,J109,J110,F117,F118,F119,F120,F121,L131,L132,L144))&gt;0</f>
        <v>0</v>
      </c>
      <c r="H283" s="3" t="s">
        <v>88</v>
      </c>
      <c r="I283" s="27"/>
      <c r="J283" s="27"/>
      <c r="K283" s="27"/>
      <c r="L283" s="27"/>
      <c r="M283" s="27"/>
      <c r="N283" s="27"/>
      <c r="O283" s="3"/>
      <c r="P283" s="3"/>
    </row>
    <row r="284" spans="1:16" ht="12.75" hidden="1">
      <c r="A284" s="4" t="s">
        <v>484</v>
      </c>
      <c r="B284" s="3"/>
      <c r="C284" s="3"/>
      <c r="D284" s="3"/>
      <c r="E284" s="3"/>
      <c r="F284" s="3"/>
      <c r="G284" s="3"/>
      <c r="H284" s="3"/>
      <c r="I284" s="27"/>
      <c r="J284" s="27"/>
      <c r="K284" s="27"/>
      <c r="L284" s="27"/>
      <c r="M284" s="27"/>
      <c r="N284" s="27"/>
      <c r="O284" s="3"/>
      <c r="P284" s="3"/>
    </row>
    <row r="285" spans="1:16" ht="12.75" hidden="1">
      <c r="A285" s="4" t="s">
        <v>484</v>
      </c>
      <c r="B285" s="3"/>
      <c r="C285" s="3"/>
      <c r="D285" s="3"/>
      <c r="E285" s="3"/>
      <c r="F285" s="3"/>
      <c r="G285" s="3"/>
      <c r="H285" s="3"/>
      <c r="I285" s="27"/>
      <c r="J285" s="27"/>
      <c r="K285" s="27"/>
      <c r="L285" s="27"/>
      <c r="M285" s="27"/>
      <c r="N285" s="27"/>
      <c r="O285" s="3"/>
      <c r="P285" s="3"/>
    </row>
    <row r="286" spans="1:16" ht="12.75" hidden="1">
      <c r="A286" s="4" t="s">
        <v>484</v>
      </c>
      <c r="B286" s="3"/>
      <c r="C286" s="3"/>
      <c r="D286" s="3"/>
      <c r="E286" s="3" t="s">
        <v>149</v>
      </c>
      <c r="F286" s="3"/>
      <c r="G286" s="3"/>
      <c r="H286" s="3"/>
      <c r="I286" s="3"/>
      <c r="J286" s="3"/>
      <c r="K286" s="3"/>
      <c r="L286" s="3"/>
      <c r="M286" s="3"/>
      <c r="N286" s="3"/>
      <c r="O286" s="3"/>
      <c r="P286" s="3"/>
    </row>
    <row r="287" spans="1:16" ht="12.75" hidden="1">
      <c r="A287" s="4" t="s">
        <v>484</v>
      </c>
      <c r="B287" s="3"/>
      <c r="C287" s="3"/>
      <c r="D287" s="3"/>
      <c r="E287" s="3" t="s">
        <v>150</v>
      </c>
      <c r="F287" s="3"/>
      <c r="G287" s="28"/>
      <c r="H287" s="3"/>
      <c r="I287" s="3"/>
      <c r="J287" s="192"/>
      <c r="K287" s="3"/>
      <c r="L287" s="3"/>
      <c r="M287" s="3"/>
      <c r="N287" s="3"/>
      <c r="O287" s="3"/>
      <c r="P287" s="3"/>
    </row>
    <row r="288" spans="1:16" ht="12.75" hidden="1">
      <c r="A288" s="4" t="s">
        <v>484</v>
      </c>
      <c r="B288" s="3"/>
      <c r="C288" s="3"/>
      <c r="D288" s="3"/>
      <c r="E288" s="3"/>
      <c r="F288" s="3"/>
      <c r="G288" s="3"/>
      <c r="H288" s="3"/>
      <c r="I288" s="3"/>
      <c r="J288" s="3"/>
      <c r="K288" s="3"/>
      <c r="L288" s="3"/>
      <c r="M288" s="3"/>
      <c r="N288" s="3"/>
      <c r="O288" s="3"/>
      <c r="P288" s="3"/>
    </row>
    <row r="289" spans="1:16" ht="13.5" hidden="1" thickBot="1">
      <c r="A289" s="4" t="s">
        <v>484</v>
      </c>
      <c r="B289" s="3"/>
      <c r="C289" s="3"/>
      <c r="D289" s="3"/>
      <c r="E289" s="27" t="s">
        <v>478</v>
      </c>
      <c r="F289" s="3"/>
      <c r="G289" s="3"/>
      <c r="H289" s="3"/>
      <c r="I289" s="3"/>
      <c r="J289" s="3"/>
      <c r="K289" s="3"/>
      <c r="L289" s="3"/>
      <c r="M289" s="3"/>
      <c r="N289" s="3"/>
      <c r="O289" s="3"/>
      <c r="P289" s="3"/>
    </row>
    <row r="290" spans="1:16" ht="12.75" hidden="1">
      <c r="A290" s="4" t="s">
        <v>484</v>
      </c>
      <c r="B290" s="3"/>
      <c r="C290" s="3"/>
      <c r="D290" s="3"/>
      <c r="E290" s="48"/>
      <c r="F290" s="46" t="s">
        <v>479</v>
      </c>
      <c r="G290" s="51" t="s">
        <v>480</v>
      </c>
      <c r="H290" s="46" t="s">
        <v>481</v>
      </c>
      <c r="I290" s="46"/>
      <c r="J290" s="219" t="s">
        <v>416</v>
      </c>
      <c r="K290" s="219" t="s">
        <v>431</v>
      </c>
      <c r="L290" s="54"/>
      <c r="M290" s="46"/>
      <c r="N290" s="47"/>
      <c r="O290" s="3"/>
      <c r="P290" s="3"/>
    </row>
    <row r="291" spans="1:16" ht="12.75" hidden="1">
      <c r="A291" s="4" t="s">
        <v>484</v>
      </c>
      <c r="B291" s="3"/>
      <c r="C291" s="3"/>
      <c r="D291" s="3"/>
      <c r="E291" s="58">
        <v>0</v>
      </c>
      <c r="F291" s="59"/>
      <c r="G291" s="60"/>
      <c r="H291" s="61" t="str">
        <f>EUconst_WithinInst</f>
        <v>All'interno dell'impianto</v>
      </c>
      <c r="I291" s="59"/>
      <c r="J291" s="21"/>
      <c r="K291" s="21"/>
      <c r="L291" s="57"/>
      <c r="M291" s="59"/>
      <c r="N291" s="62"/>
      <c r="O291" s="3"/>
      <c r="P291" s="3"/>
    </row>
    <row r="292" spans="1:16" ht="12.75" hidden="1">
      <c r="A292" s="4" t="s">
        <v>484</v>
      </c>
      <c r="B292" s="3"/>
      <c r="C292" s="3"/>
      <c r="D292" s="3"/>
      <c r="E292" s="49">
        <v>1</v>
      </c>
      <c r="F292" s="39" t="str">
        <f aca="true" t="shared" si="3" ref="F292:F301">IF(ISNUMBER(MATCH($E292,$R$172:$R$181,0)),MATCH($E292,$R$172:$R$181,0),EUconst_NA)</f>
        <v>N.D.</v>
      </c>
      <c r="G292" s="52" t="str">
        <f aca="true" t="shared" si="4" ref="G292:G301">IF(AND(ISNUMBER($F292),NOT(ISBLANK(INDEX($K$172:$K$181,$F292)))),INDEX(EUconst_ConnectionShortTypes,MATCH(INDEX($K$172:$K$181,$F292),EUconst_ConnectionTypes,0)),EUconst_NA)</f>
        <v>N.D.</v>
      </c>
      <c r="H292" s="40" t="str">
        <f aca="true" t="shared" si="5" ref="H292:H301">IF(NOT(ISNUMBER(F292)),EUconst_NA,CONCATENATE(INDEX($F$172:$F$181,$F292),": ",G292," ",IF(ISBLANK(INDEX($M$172:$M$181,$F292)),EUconst_NA,INDEX($M$172:$M$181,$F292))))</f>
        <v>N.D.</v>
      </c>
      <c r="I292" s="3"/>
      <c r="J292" s="217">
        <f>IF(ISNUMBER($F292),IF(ISBLANK(INDEX($F$188:$F$197,$F292)),"",INDEX($F$188:$F$197,$F292)),"")</f>
      </c>
      <c r="K292" s="217">
        <f>IF(ISNUMBER($F292),IF(ISBLANK(INDEX($I$172:$I$181,$F292)),"",INDEX($I$172:$I$181,$F292)),"")</f>
      </c>
      <c r="L292" s="55"/>
      <c r="M292" s="3"/>
      <c r="N292" s="41"/>
      <c r="O292" s="3"/>
      <c r="P292" s="3"/>
    </row>
    <row r="293" spans="1:16" ht="12.75" hidden="1">
      <c r="A293" s="4" t="s">
        <v>484</v>
      </c>
      <c r="B293" s="3"/>
      <c r="C293" s="3"/>
      <c r="D293" s="3"/>
      <c r="E293" s="49">
        <f>E292+1</f>
        <v>2</v>
      </c>
      <c r="F293" s="39" t="str">
        <f t="shared" si="3"/>
        <v>N.D.</v>
      </c>
      <c r="G293" s="52" t="str">
        <f t="shared" si="4"/>
        <v>N.D.</v>
      </c>
      <c r="H293" s="40" t="str">
        <f t="shared" si="5"/>
        <v>N.D.</v>
      </c>
      <c r="I293" s="3"/>
      <c r="J293" s="217">
        <f aca="true" t="shared" si="6" ref="J293:J301">IF(ISNUMBER($F293),IF(ISBLANK(INDEX($F$188:$F$197,$F293)),"",INDEX($F$188:$F$197,$F293)),"")</f>
      </c>
      <c r="K293" s="217">
        <f aca="true" t="shared" si="7" ref="K293:K301">IF(ISNUMBER($F293),IF(ISBLANK(INDEX($I$172:$I$181,$F293)),"",INDEX($I$172:$I$181,$F293)),"")</f>
      </c>
      <c r="L293" s="55"/>
      <c r="M293" s="3"/>
      <c r="N293" s="41"/>
      <c r="O293" s="3"/>
      <c r="P293" s="3"/>
    </row>
    <row r="294" spans="1:16" ht="12.75" hidden="1">
      <c r="A294" s="4" t="s">
        <v>484</v>
      </c>
      <c r="B294" s="3"/>
      <c r="C294" s="3"/>
      <c r="D294" s="3"/>
      <c r="E294" s="49">
        <f aca="true" t="shared" si="8" ref="E294:E301">E293+1</f>
        <v>3</v>
      </c>
      <c r="F294" s="39" t="str">
        <f t="shared" si="3"/>
        <v>N.D.</v>
      </c>
      <c r="G294" s="52" t="str">
        <f t="shared" si="4"/>
        <v>N.D.</v>
      </c>
      <c r="H294" s="40" t="str">
        <f t="shared" si="5"/>
        <v>N.D.</v>
      </c>
      <c r="I294" s="3"/>
      <c r="J294" s="217">
        <f t="shared" si="6"/>
      </c>
      <c r="K294" s="217">
        <f t="shared" si="7"/>
      </c>
      <c r="L294" s="55"/>
      <c r="M294" s="3"/>
      <c r="N294" s="41"/>
      <c r="O294" s="3"/>
      <c r="P294" s="3"/>
    </row>
    <row r="295" spans="1:16" ht="12.75" hidden="1">
      <c r="A295" s="4" t="s">
        <v>484</v>
      </c>
      <c r="B295" s="3"/>
      <c r="C295" s="3"/>
      <c r="D295" s="3"/>
      <c r="E295" s="49">
        <f t="shared" si="8"/>
        <v>4</v>
      </c>
      <c r="F295" s="39" t="str">
        <f t="shared" si="3"/>
        <v>N.D.</v>
      </c>
      <c r="G295" s="52" t="str">
        <f t="shared" si="4"/>
        <v>N.D.</v>
      </c>
      <c r="H295" s="40" t="str">
        <f t="shared" si="5"/>
        <v>N.D.</v>
      </c>
      <c r="I295" s="3"/>
      <c r="J295" s="217">
        <f t="shared" si="6"/>
      </c>
      <c r="K295" s="217">
        <f t="shared" si="7"/>
      </c>
      <c r="L295" s="55"/>
      <c r="M295" s="3"/>
      <c r="N295" s="41"/>
      <c r="O295" s="3"/>
      <c r="P295" s="3"/>
    </row>
    <row r="296" spans="1:16" ht="12.75" hidden="1">
      <c r="A296" s="4" t="s">
        <v>484</v>
      </c>
      <c r="B296" s="3"/>
      <c r="C296" s="3"/>
      <c r="D296" s="3"/>
      <c r="E296" s="49">
        <f t="shared" si="8"/>
        <v>5</v>
      </c>
      <c r="F296" s="39" t="str">
        <f t="shared" si="3"/>
        <v>N.D.</v>
      </c>
      <c r="G296" s="52" t="str">
        <f t="shared" si="4"/>
        <v>N.D.</v>
      </c>
      <c r="H296" s="40" t="str">
        <f t="shared" si="5"/>
        <v>N.D.</v>
      </c>
      <c r="I296" s="3"/>
      <c r="J296" s="217">
        <f t="shared" si="6"/>
      </c>
      <c r="K296" s="217">
        <f t="shared" si="7"/>
      </c>
      <c r="L296" s="55"/>
      <c r="M296" s="3"/>
      <c r="N296" s="41"/>
      <c r="O296" s="3"/>
      <c r="P296" s="3"/>
    </row>
    <row r="297" spans="1:16" ht="12.75" hidden="1">
      <c r="A297" s="4" t="s">
        <v>484</v>
      </c>
      <c r="B297" s="3"/>
      <c r="C297" s="3"/>
      <c r="D297" s="3"/>
      <c r="E297" s="49">
        <f t="shared" si="8"/>
        <v>6</v>
      </c>
      <c r="F297" s="39" t="str">
        <f t="shared" si="3"/>
        <v>N.D.</v>
      </c>
      <c r="G297" s="52" t="str">
        <f t="shared" si="4"/>
        <v>N.D.</v>
      </c>
      <c r="H297" s="40" t="str">
        <f t="shared" si="5"/>
        <v>N.D.</v>
      </c>
      <c r="I297" s="3"/>
      <c r="J297" s="217">
        <f t="shared" si="6"/>
      </c>
      <c r="K297" s="217">
        <f t="shared" si="7"/>
      </c>
      <c r="L297" s="55"/>
      <c r="M297" s="3"/>
      <c r="N297" s="41"/>
      <c r="O297" s="3"/>
      <c r="P297" s="3"/>
    </row>
    <row r="298" spans="1:16" ht="12.75" hidden="1">
      <c r="A298" s="4" t="s">
        <v>484</v>
      </c>
      <c r="B298" s="3"/>
      <c r="C298" s="3"/>
      <c r="D298" s="3"/>
      <c r="E298" s="49">
        <f t="shared" si="8"/>
        <v>7</v>
      </c>
      <c r="F298" s="39" t="str">
        <f t="shared" si="3"/>
        <v>N.D.</v>
      </c>
      <c r="G298" s="52" t="str">
        <f t="shared" si="4"/>
        <v>N.D.</v>
      </c>
      <c r="H298" s="40" t="str">
        <f t="shared" si="5"/>
        <v>N.D.</v>
      </c>
      <c r="I298" s="3"/>
      <c r="J298" s="217">
        <f t="shared" si="6"/>
      </c>
      <c r="K298" s="217">
        <f t="shared" si="7"/>
      </c>
      <c r="L298" s="55"/>
      <c r="M298" s="3"/>
      <c r="N298" s="41"/>
      <c r="O298" s="3"/>
      <c r="P298" s="3"/>
    </row>
    <row r="299" spans="1:16" ht="12.75" hidden="1">
      <c r="A299" s="4" t="s">
        <v>484</v>
      </c>
      <c r="B299" s="3"/>
      <c r="C299" s="3"/>
      <c r="D299" s="3"/>
      <c r="E299" s="49">
        <f t="shared" si="8"/>
        <v>8</v>
      </c>
      <c r="F299" s="39" t="str">
        <f t="shared" si="3"/>
        <v>N.D.</v>
      </c>
      <c r="G299" s="52" t="str">
        <f t="shared" si="4"/>
        <v>N.D.</v>
      </c>
      <c r="H299" s="40" t="str">
        <f t="shared" si="5"/>
        <v>N.D.</v>
      </c>
      <c r="I299" s="3"/>
      <c r="J299" s="217">
        <f t="shared" si="6"/>
      </c>
      <c r="K299" s="217">
        <f t="shared" si="7"/>
      </c>
      <c r="L299" s="55"/>
      <c r="M299" s="3"/>
      <c r="N299" s="41"/>
      <c r="O299" s="3"/>
      <c r="P299" s="3"/>
    </row>
    <row r="300" spans="1:16" ht="12.75" hidden="1">
      <c r="A300" s="4" t="s">
        <v>484</v>
      </c>
      <c r="B300" s="3"/>
      <c r="C300" s="3"/>
      <c r="D300" s="3"/>
      <c r="E300" s="49">
        <f t="shared" si="8"/>
        <v>9</v>
      </c>
      <c r="F300" s="39" t="str">
        <f t="shared" si="3"/>
        <v>N.D.</v>
      </c>
      <c r="G300" s="52" t="str">
        <f t="shared" si="4"/>
        <v>N.D.</v>
      </c>
      <c r="H300" s="40" t="str">
        <f t="shared" si="5"/>
        <v>N.D.</v>
      </c>
      <c r="I300" s="3"/>
      <c r="J300" s="217">
        <f t="shared" si="6"/>
      </c>
      <c r="K300" s="217">
        <f t="shared" si="7"/>
      </c>
      <c r="L300" s="55"/>
      <c r="M300" s="3"/>
      <c r="N300" s="41"/>
      <c r="O300" s="3"/>
      <c r="P300" s="3"/>
    </row>
    <row r="301" spans="1:16" ht="13.5" hidden="1" thickBot="1">
      <c r="A301" s="4" t="s">
        <v>484</v>
      </c>
      <c r="B301" s="3"/>
      <c r="C301" s="3"/>
      <c r="D301" s="3"/>
      <c r="E301" s="50">
        <f t="shared" si="8"/>
        <v>10</v>
      </c>
      <c r="F301" s="42" t="str">
        <f t="shared" si="3"/>
        <v>N.D.</v>
      </c>
      <c r="G301" s="53" t="str">
        <f t="shared" si="4"/>
        <v>N.D.</v>
      </c>
      <c r="H301" s="43" t="str">
        <f t="shared" si="5"/>
        <v>N.D.</v>
      </c>
      <c r="I301" s="44"/>
      <c r="J301" s="218">
        <f t="shared" si="6"/>
      </c>
      <c r="K301" s="218">
        <f t="shared" si="7"/>
      </c>
      <c r="L301" s="56"/>
      <c r="M301" s="44"/>
      <c r="N301" s="45"/>
      <c r="O301" s="3"/>
      <c r="P301" s="3"/>
    </row>
    <row r="302" spans="1:16" ht="12.75" hidden="1">
      <c r="A302" s="4" t="s">
        <v>484</v>
      </c>
      <c r="B302" s="3"/>
      <c r="C302" s="3"/>
      <c r="D302" s="3"/>
      <c r="E302" s="3"/>
      <c r="F302" s="3"/>
      <c r="G302" s="3"/>
      <c r="H302" s="3"/>
      <c r="I302" s="3"/>
      <c r="J302" s="3"/>
      <c r="K302" s="3"/>
      <c r="L302" s="3"/>
      <c r="M302" s="3"/>
      <c r="N302" s="3"/>
      <c r="O302" s="3"/>
      <c r="P302" s="3"/>
    </row>
    <row r="303" spans="1:16" ht="12.75" hidden="1">
      <c r="A303" s="4" t="s">
        <v>484</v>
      </c>
      <c r="B303" s="3"/>
      <c r="C303" s="3"/>
      <c r="D303" s="3"/>
      <c r="E303" s="3" t="s">
        <v>151</v>
      </c>
      <c r="F303" s="3"/>
      <c r="G303" s="3"/>
      <c r="H303" s="3"/>
      <c r="I303" s="3"/>
      <c r="J303" s="3"/>
      <c r="K303" s="3"/>
      <c r="L303" s="3"/>
      <c r="M303" s="3"/>
      <c r="N303" s="3"/>
      <c r="O303" s="3"/>
      <c r="P303" s="3"/>
    </row>
    <row r="304" spans="1:16" ht="12.75" hidden="1">
      <c r="A304" s="4" t="s">
        <v>484</v>
      </c>
      <c r="B304" s="3"/>
      <c r="C304" s="3"/>
      <c r="D304" s="3"/>
      <c r="E304" s="3" t="s">
        <v>152</v>
      </c>
      <c r="F304" s="3"/>
      <c r="G304" s="28" t="b">
        <f>COUNTA($F$172:$F$181)&gt;0</f>
        <v>0</v>
      </c>
      <c r="H304" s="3"/>
      <c r="I304" s="3"/>
      <c r="J304" s="3"/>
      <c r="K304" s="3"/>
      <c r="L304" s="3"/>
      <c r="M304" s="3"/>
      <c r="N304" s="3"/>
      <c r="O304" s="3"/>
      <c r="P304" s="3"/>
    </row>
    <row r="305" spans="1:16" ht="12.75" hidden="1">
      <c r="A305" s="4" t="s">
        <v>484</v>
      </c>
      <c r="B305" s="3"/>
      <c r="C305" s="3"/>
      <c r="D305" s="3"/>
      <c r="E305" s="3"/>
      <c r="F305" s="3"/>
      <c r="G305" s="3"/>
      <c r="H305" s="3"/>
      <c r="I305" s="3"/>
      <c r="J305" s="3"/>
      <c r="K305" s="3"/>
      <c r="L305" s="3"/>
      <c r="M305" s="3"/>
      <c r="N305" s="3"/>
      <c r="O305" s="3"/>
      <c r="P305" s="3"/>
    </row>
    <row r="306" spans="1:16" ht="12.75" hidden="1">
      <c r="A306" s="4" t="s">
        <v>484</v>
      </c>
      <c r="B306" s="3"/>
      <c r="C306" s="3"/>
      <c r="D306" s="3"/>
      <c r="E306" s="3"/>
      <c r="F306" s="3"/>
      <c r="G306" s="3"/>
      <c r="H306" s="3"/>
      <c r="I306" s="3"/>
      <c r="J306" s="3"/>
      <c r="K306" s="3"/>
      <c r="L306" s="3"/>
      <c r="M306" s="3"/>
      <c r="N306" s="3"/>
      <c r="O306" s="3"/>
      <c r="P306" s="3"/>
    </row>
    <row r="321" ht="12.75"/>
    <row r="322" ht="12.75"/>
  </sheetData>
  <sheetProtection sheet="1" objects="1" scenarios="1" formatCells="0" formatColumns="0" formatRows="0"/>
  <mergeCells count="356">
    <mergeCell ref="Y4:Z4"/>
    <mergeCell ref="E13:N13"/>
    <mergeCell ref="E12:N12"/>
    <mergeCell ref="E35:N35"/>
    <mergeCell ref="E124:N124"/>
    <mergeCell ref="D204:N204"/>
    <mergeCell ref="E36:N36"/>
    <mergeCell ref="D201:N201"/>
    <mergeCell ref="D202:N202"/>
    <mergeCell ref="D203:N203"/>
    <mergeCell ref="S2:T2"/>
    <mergeCell ref="U2:V2"/>
    <mergeCell ref="W2:X2"/>
    <mergeCell ref="E24:M24"/>
    <mergeCell ref="F26:M26"/>
    <mergeCell ref="F27:M27"/>
    <mergeCell ref="E20:N20"/>
    <mergeCell ref="F25:M25"/>
    <mergeCell ref="K4:L4"/>
    <mergeCell ref="D6:N6"/>
    <mergeCell ref="Y2:Z2"/>
    <mergeCell ref="E38:N38"/>
    <mergeCell ref="S4:T4"/>
    <mergeCell ref="U4:V4"/>
    <mergeCell ref="W4:X4"/>
    <mergeCell ref="E129:N129"/>
    <mergeCell ref="G3:H3"/>
    <mergeCell ref="S3:T3"/>
    <mergeCell ref="U3:V3"/>
    <mergeCell ref="W3:X3"/>
    <mergeCell ref="Y3:Z3"/>
    <mergeCell ref="E31:N31"/>
    <mergeCell ref="E29:N29"/>
    <mergeCell ref="E30:N30"/>
    <mergeCell ref="E32:N32"/>
    <mergeCell ref="F120:N120"/>
    <mergeCell ref="E114:N114"/>
    <mergeCell ref="E11:N11"/>
    <mergeCell ref="J87:N87"/>
    <mergeCell ref="G86:I86"/>
    <mergeCell ref="D249:N249"/>
    <mergeCell ref="D232:N232"/>
    <mergeCell ref="E235:I235"/>
    <mergeCell ref="J235:N235"/>
    <mergeCell ref="E237:I237"/>
    <mergeCell ref="F229:I229"/>
    <mergeCell ref="F244:I244"/>
    <mergeCell ref="J244:N244"/>
    <mergeCell ref="F245:I245"/>
    <mergeCell ref="J245:N245"/>
    <mergeCell ref="J270:N270"/>
    <mergeCell ref="J266:N266"/>
    <mergeCell ref="J256:N256"/>
    <mergeCell ref="E266:I266"/>
    <mergeCell ref="E256:I256"/>
    <mergeCell ref="D250:N250"/>
    <mergeCell ref="E254:I254"/>
    <mergeCell ref="J254:N254"/>
    <mergeCell ref="J252:N252"/>
    <mergeCell ref="E252:I252"/>
    <mergeCell ref="F271:I271"/>
    <mergeCell ref="J271:N271"/>
    <mergeCell ref="F272:I272"/>
    <mergeCell ref="J272:N272"/>
    <mergeCell ref="D258:N258"/>
    <mergeCell ref="E261:I261"/>
    <mergeCell ref="J261:N261"/>
    <mergeCell ref="E263:I263"/>
    <mergeCell ref="J263:N263"/>
    <mergeCell ref="F270:I270"/>
    <mergeCell ref="E152:N152"/>
    <mergeCell ref="F142:N142"/>
    <mergeCell ref="L144:M144"/>
    <mergeCell ref="J246:N246"/>
    <mergeCell ref="E34:N34"/>
    <mergeCell ref="J237:N237"/>
    <mergeCell ref="E240:I240"/>
    <mergeCell ref="J240:N240"/>
    <mergeCell ref="J228:N228"/>
    <mergeCell ref="J229:N229"/>
    <mergeCell ref="G110:I110"/>
    <mergeCell ref="D112:N112"/>
    <mergeCell ref="J108:N108"/>
    <mergeCell ref="E211:N211"/>
    <mergeCell ref="D208:N208"/>
    <mergeCell ref="E205:N205"/>
    <mergeCell ref="E206:N206"/>
    <mergeCell ref="E123:N123"/>
    <mergeCell ref="E130:N130"/>
    <mergeCell ref="F132:K132"/>
    <mergeCell ref="E134:K134"/>
    <mergeCell ref="F131:K131"/>
    <mergeCell ref="L134:N134"/>
    <mergeCell ref="E135:N135"/>
    <mergeCell ref="B97:B110"/>
    <mergeCell ref="B112:B137"/>
    <mergeCell ref="E127:N127"/>
    <mergeCell ref="J101:N101"/>
    <mergeCell ref="D97:N97"/>
    <mergeCell ref="E128:N128"/>
    <mergeCell ref="F158:N158"/>
    <mergeCell ref="F164:N164"/>
    <mergeCell ref="K173:L173"/>
    <mergeCell ref="M171:N171"/>
    <mergeCell ref="F156:N156"/>
    <mergeCell ref="E126:N126"/>
    <mergeCell ref="E136:N136"/>
    <mergeCell ref="E138:N138"/>
    <mergeCell ref="E144:K144"/>
    <mergeCell ref="E140:N140"/>
    <mergeCell ref="I174:J174"/>
    <mergeCell ref="F161:N161"/>
    <mergeCell ref="E167:N167"/>
    <mergeCell ref="F172:H172"/>
    <mergeCell ref="K172:L172"/>
    <mergeCell ref="F169:N169"/>
    <mergeCell ref="M172:N172"/>
    <mergeCell ref="F168:N168"/>
    <mergeCell ref="M174:N174"/>
    <mergeCell ref="M173:N173"/>
    <mergeCell ref="I172:J172"/>
    <mergeCell ref="I171:J171"/>
    <mergeCell ref="K174:L174"/>
    <mergeCell ref="F197:G197"/>
    <mergeCell ref="K176:L176"/>
    <mergeCell ref="K175:L175"/>
    <mergeCell ref="F175:H175"/>
    <mergeCell ref="F177:H177"/>
    <mergeCell ref="F195:G195"/>
    <mergeCell ref="I176:J176"/>
    <mergeCell ref="F174:H174"/>
    <mergeCell ref="I175:J175"/>
    <mergeCell ref="J195:L195"/>
    <mergeCell ref="J196:L196"/>
    <mergeCell ref="F196:G196"/>
    <mergeCell ref="H193:I193"/>
    <mergeCell ref="F189:G189"/>
    <mergeCell ref="I180:J180"/>
    <mergeCell ref="H190:I190"/>
    <mergeCell ref="F181:H181"/>
    <mergeCell ref="M196:N196"/>
    <mergeCell ref="D274:N274"/>
    <mergeCell ref="H192:I192"/>
    <mergeCell ref="H195:I195"/>
    <mergeCell ref="H197:I197"/>
    <mergeCell ref="D233:N233"/>
    <mergeCell ref="F193:G193"/>
    <mergeCell ref="J230:N230"/>
    <mergeCell ref="F228:I228"/>
    <mergeCell ref="E210:I210"/>
    <mergeCell ref="D259:N259"/>
    <mergeCell ref="M195:N195"/>
    <mergeCell ref="H196:I196"/>
    <mergeCell ref="M197:N197"/>
    <mergeCell ref="J197:L197"/>
    <mergeCell ref="E185:N185"/>
    <mergeCell ref="H187:I187"/>
    <mergeCell ref="E186:N186"/>
    <mergeCell ref="M190:N190"/>
    <mergeCell ref="J190:L190"/>
    <mergeCell ref="I181:J181"/>
    <mergeCell ref="E183:N183"/>
    <mergeCell ref="M180:N180"/>
    <mergeCell ref="M179:N179"/>
    <mergeCell ref="F180:H180"/>
    <mergeCell ref="K181:L181"/>
    <mergeCell ref="K178:L178"/>
    <mergeCell ref="M178:N178"/>
    <mergeCell ref="M175:N175"/>
    <mergeCell ref="K179:L179"/>
    <mergeCell ref="F179:H179"/>
    <mergeCell ref="I179:J179"/>
    <mergeCell ref="M176:N176"/>
    <mergeCell ref="M177:N177"/>
    <mergeCell ref="K177:L177"/>
    <mergeCell ref="F176:H176"/>
    <mergeCell ref="H188:I188"/>
    <mergeCell ref="F190:G190"/>
    <mergeCell ref="F173:H173"/>
    <mergeCell ref="M181:N181"/>
    <mergeCell ref="I178:J178"/>
    <mergeCell ref="I177:J177"/>
    <mergeCell ref="F178:H178"/>
    <mergeCell ref="H189:I189"/>
    <mergeCell ref="F188:G188"/>
    <mergeCell ref="F187:G187"/>
    <mergeCell ref="M191:N191"/>
    <mergeCell ref="M192:N192"/>
    <mergeCell ref="J192:L192"/>
    <mergeCell ref="F194:G194"/>
    <mergeCell ref="H194:I194"/>
    <mergeCell ref="J194:L194"/>
    <mergeCell ref="F191:G191"/>
    <mergeCell ref="F192:G192"/>
    <mergeCell ref="M189:N189"/>
    <mergeCell ref="J193:L193"/>
    <mergeCell ref="I173:J173"/>
    <mergeCell ref="J187:L187"/>
    <mergeCell ref="M187:N187"/>
    <mergeCell ref="K180:L180"/>
    <mergeCell ref="H191:I191"/>
    <mergeCell ref="J191:L191"/>
    <mergeCell ref="J188:L188"/>
    <mergeCell ref="J189:L189"/>
    <mergeCell ref="E184:N184"/>
    <mergeCell ref="M188:N188"/>
    <mergeCell ref="G103:I103"/>
    <mergeCell ref="E106:N106"/>
    <mergeCell ref="G108:I108"/>
    <mergeCell ref="F166:N166"/>
    <mergeCell ref="E125:N125"/>
    <mergeCell ref="F157:N157"/>
    <mergeCell ref="F160:N160"/>
    <mergeCell ref="E154:N154"/>
    <mergeCell ref="J86:N86"/>
    <mergeCell ref="J88:N88"/>
    <mergeCell ref="E91:N91"/>
    <mergeCell ref="J109:N109"/>
    <mergeCell ref="J104:N104"/>
    <mergeCell ref="J89:N89"/>
    <mergeCell ref="G107:I107"/>
    <mergeCell ref="F117:N117"/>
    <mergeCell ref="E115:N115"/>
    <mergeCell ref="E159:N159"/>
    <mergeCell ref="E163:N163"/>
    <mergeCell ref="F119:N119"/>
    <mergeCell ref="J110:N110"/>
    <mergeCell ref="E149:N149"/>
    <mergeCell ref="F155:N155"/>
    <mergeCell ref="F141:N141"/>
    <mergeCell ref="F143:N143"/>
    <mergeCell ref="F118:N118"/>
    <mergeCell ref="E79:N79"/>
    <mergeCell ref="J83:N83"/>
    <mergeCell ref="J81:N81"/>
    <mergeCell ref="J82:N82"/>
    <mergeCell ref="J103:N103"/>
    <mergeCell ref="G89:I89"/>
    <mergeCell ref="G92:I92"/>
    <mergeCell ref="J102:N102"/>
    <mergeCell ref="G102:I102"/>
    <mergeCell ref="F77:I77"/>
    <mergeCell ref="G84:I84"/>
    <mergeCell ref="J107:N107"/>
    <mergeCell ref="G109:I109"/>
    <mergeCell ref="G104:I104"/>
    <mergeCell ref="J92:N92"/>
    <mergeCell ref="G94:I94"/>
    <mergeCell ref="J93:N93"/>
    <mergeCell ref="J94:N94"/>
    <mergeCell ref="J85:N85"/>
    <mergeCell ref="J76:N76"/>
    <mergeCell ref="J73:N73"/>
    <mergeCell ref="F73:I73"/>
    <mergeCell ref="J95:N95"/>
    <mergeCell ref="G95:I95"/>
    <mergeCell ref="J77:N77"/>
    <mergeCell ref="E80:N80"/>
    <mergeCell ref="G81:I81"/>
    <mergeCell ref="G82:I82"/>
    <mergeCell ref="G87:I87"/>
    <mergeCell ref="J61:N61"/>
    <mergeCell ref="J48:N48"/>
    <mergeCell ref="D46:N46"/>
    <mergeCell ref="E49:N49"/>
    <mergeCell ref="E54:I54"/>
    <mergeCell ref="J84:N84"/>
    <mergeCell ref="G83:I83"/>
    <mergeCell ref="J64:N64"/>
    <mergeCell ref="J72:N72"/>
    <mergeCell ref="E67:N67"/>
    <mergeCell ref="F76:I76"/>
    <mergeCell ref="E66:N66"/>
    <mergeCell ref="E64:I64"/>
    <mergeCell ref="E62:N62"/>
    <mergeCell ref="F71:N71"/>
    <mergeCell ref="E68:N68"/>
    <mergeCell ref="F75:N75"/>
    <mergeCell ref="F72:I72"/>
    <mergeCell ref="F69:I69"/>
    <mergeCell ref="J69:N69"/>
    <mergeCell ref="B2:D4"/>
    <mergeCell ref="E3:F3"/>
    <mergeCell ref="E51:I51"/>
    <mergeCell ref="E52:N52"/>
    <mergeCell ref="K2:L2"/>
    <mergeCell ref="F121:N121"/>
    <mergeCell ref="G101:I101"/>
    <mergeCell ref="G93:I93"/>
    <mergeCell ref="E98:N98"/>
    <mergeCell ref="E100:N100"/>
    <mergeCell ref="E57:N57"/>
    <mergeCell ref="E58:N58"/>
    <mergeCell ref="E61:I61"/>
    <mergeCell ref="E59:N59"/>
    <mergeCell ref="I4:J4"/>
    <mergeCell ref="G4:H4"/>
    <mergeCell ref="E4:F4"/>
    <mergeCell ref="E56:I56"/>
    <mergeCell ref="E18:K18"/>
    <mergeCell ref="J51:N51"/>
    <mergeCell ref="E48:I48"/>
    <mergeCell ref="D44:N44"/>
    <mergeCell ref="E15:K15"/>
    <mergeCell ref="L15:N15"/>
    <mergeCell ref="J56:N56"/>
    <mergeCell ref="F162:N162"/>
    <mergeCell ref="G88:I88"/>
    <mergeCell ref="G85:I85"/>
    <mergeCell ref="E139:N139"/>
    <mergeCell ref="E150:N150"/>
    <mergeCell ref="K3:L3"/>
    <mergeCell ref="G2:H2"/>
    <mergeCell ref="M4:N4"/>
    <mergeCell ref="M3:N3"/>
    <mergeCell ref="I3:J3"/>
    <mergeCell ref="M2:N2"/>
    <mergeCell ref="I2:J2"/>
    <mergeCell ref="E267:N267"/>
    <mergeCell ref="E268:N268"/>
    <mergeCell ref="F220:I220"/>
    <mergeCell ref="J220:N220"/>
    <mergeCell ref="F221:I221"/>
    <mergeCell ref="J221:N221"/>
    <mergeCell ref="F222:I222"/>
    <mergeCell ref="J222:N222"/>
    <mergeCell ref="F230:I230"/>
    <mergeCell ref="F246:I246"/>
    <mergeCell ref="E225:N225"/>
    <mergeCell ref="E224:I224"/>
    <mergeCell ref="J224:N224"/>
    <mergeCell ref="E218:I218"/>
    <mergeCell ref="J218:N218"/>
    <mergeCell ref="E242:N242"/>
    <mergeCell ref="E219:N219"/>
    <mergeCell ref="E238:N238"/>
    <mergeCell ref="E151:N151"/>
    <mergeCell ref="J215:N215"/>
    <mergeCell ref="J216:N216"/>
    <mergeCell ref="F214:I214"/>
    <mergeCell ref="F215:I215"/>
    <mergeCell ref="F216:I216"/>
    <mergeCell ref="K171:L171"/>
    <mergeCell ref="F165:N165"/>
    <mergeCell ref="M193:N193"/>
    <mergeCell ref="M194:N194"/>
    <mergeCell ref="E264:N264"/>
    <mergeCell ref="E21:N21"/>
    <mergeCell ref="E22:N22"/>
    <mergeCell ref="E23:N23"/>
    <mergeCell ref="E241:N241"/>
    <mergeCell ref="E226:N226"/>
    <mergeCell ref="E212:N212"/>
    <mergeCell ref="J214:N214"/>
    <mergeCell ref="F171:H171"/>
    <mergeCell ref="E153:N153"/>
  </mergeCells>
  <conditionalFormatting sqref="F188:G197">
    <cfRule type="expression" priority="146" dxfId="43" stopIfTrue="1">
      <formula>AND(CNTR_ExistConnectionEntries,ISBLANK($F172))</formula>
    </cfRule>
    <cfRule type="expression" priority="147" dxfId="39" stopIfTrue="1">
      <formula>($S172=FALSE)</formula>
    </cfRule>
  </conditionalFormatting>
  <conditionalFormatting sqref="H188:N197">
    <cfRule type="expression" priority="148" dxfId="43" stopIfTrue="1">
      <formula>AND(CNTR_ExistConnectionEntries,ISBLANK($F172))</formula>
    </cfRule>
    <cfRule type="expression" priority="149" dxfId="41" stopIfTrue="1">
      <formula>MSconst_RequireConnectedInstContact</formula>
    </cfRule>
    <cfRule type="expression" priority="150" dxfId="41" stopIfTrue="1">
      <formula>($S172=FALSE)</formula>
    </cfRule>
  </conditionalFormatting>
  <conditionalFormatting sqref="J61:N61">
    <cfRule type="expression" priority="153" dxfId="39" stopIfTrue="1">
      <formula>AND(NOT(ISBLANK($J$54)),$J$54=FALSE)</formula>
    </cfRule>
  </conditionalFormatting>
  <conditionalFormatting sqref="J69:N69 J72:N73">
    <cfRule type="expression" priority="154" dxfId="39" stopIfTrue="1">
      <formula>(MSconst_RequirePermitInfo=FALSE)</formula>
    </cfRule>
  </conditionalFormatting>
  <conditionalFormatting sqref="B2:D4">
    <cfRule type="expression" priority="155" dxfId="0" stopIfTrue="1">
      <formula>CNTR_HasErrors_A</formula>
    </cfRule>
  </conditionalFormatting>
  <conditionalFormatting sqref="J221:N221 J215:N215">
    <cfRule type="expression" priority="21" dxfId="37" stopIfTrue="1">
      <formula>$Z215=1</formula>
    </cfRule>
  </conditionalFormatting>
  <conditionalFormatting sqref="J229:N229 J224:N224">
    <cfRule type="expression" priority="20" dxfId="12" stopIfTrue="1">
      <formula>$Z224</formula>
    </cfRule>
  </conditionalFormatting>
  <conditionalFormatting sqref="L18">
    <cfRule type="expression" priority="18" dxfId="12" stopIfTrue="1">
      <formula>$Z13=TRUE</formula>
    </cfRule>
  </conditionalFormatting>
  <conditionalFormatting sqref="L18">
    <cfRule type="expression" priority="19" dxfId="12" stopIfTrue="1">
      <formula>$X13=TRUE</formula>
    </cfRule>
  </conditionalFormatting>
  <conditionalFormatting sqref="M18">
    <cfRule type="expression" priority="14" dxfId="12" stopIfTrue="1">
      <formula>$Z13=TRUE</formula>
    </cfRule>
  </conditionalFormatting>
  <conditionalFormatting sqref="M18">
    <cfRule type="expression" priority="15" dxfId="12" stopIfTrue="1">
      <formula>$X13=TRUE</formula>
    </cfRule>
  </conditionalFormatting>
  <conditionalFormatting sqref="N18">
    <cfRule type="expression" priority="12" dxfId="12" stopIfTrue="1">
      <formula>$Z13=TRUE</formula>
    </cfRule>
  </conditionalFormatting>
  <conditionalFormatting sqref="N18">
    <cfRule type="expression" priority="13" dxfId="12" stopIfTrue="1">
      <formula>$X13=TRUE</formula>
    </cfRule>
  </conditionalFormatting>
  <conditionalFormatting sqref="N25:N26">
    <cfRule type="expression" priority="10" dxfId="12" stopIfTrue="1">
      <formula>$Z19=TRUE</formula>
    </cfRule>
  </conditionalFormatting>
  <conditionalFormatting sqref="N25:N26">
    <cfRule type="expression" priority="11" dxfId="12" stopIfTrue="1">
      <formula>$X19=TRUE</formula>
    </cfRule>
  </conditionalFormatting>
  <conditionalFormatting sqref="N28">
    <cfRule type="expression" priority="157" dxfId="12" stopIfTrue="1">
      <formula>$Z21=TRUE</formula>
    </cfRule>
  </conditionalFormatting>
  <conditionalFormatting sqref="N28">
    <cfRule type="expression" priority="159" dxfId="12" stopIfTrue="1">
      <formula>$X21=TRUE</formula>
    </cfRule>
  </conditionalFormatting>
  <conditionalFormatting sqref="N27">
    <cfRule type="expression" priority="6" dxfId="12" stopIfTrue="1">
      <formula>$Z21=TRUE</formula>
    </cfRule>
  </conditionalFormatting>
  <conditionalFormatting sqref="N27">
    <cfRule type="expression" priority="7" dxfId="12" stopIfTrue="1">
      <formula>$X21=TRUE</formula>
    </cfRule>
  </conditionalFormatting>
  <conditionalFormatting sqref="N24">
    <cfRule type="expression" priority="4" dxfId="12" stopIfTrue="1">
      <formula>$Z17=TRUE</formula>
    </cfRule>
  </conditionalFormatting>
  <conditionalFormatting sqref="N24">
    <cfRule type="expression" priority="5" dxfId="12" stopIfTrue="1">
      <formula>$X17=TRUE</formula>
    </cfRule>
  </conditionalFormatting>
  <conditionalFormatting sqref="J271:N271 J266:N266 J263:N263 J261:N261 J245:N245 J240:N240 J237:N237 J235:N235">
    <cfRule type="expression" priority="3" dxfId="12" stopIfTrue="1">
      <formula>$Z235=TRUE</formula>
    </cfRule>
  </conditionalFormatting>
  <conditionalFormatting sqref="G3:H3">
    <cfRule type="expression" priority="2" dxfId="19" stopIfTrue="1">
      <formula>$Y$38</formula>
    </cfRule>
  </conditionalFormatting>
  <conditionalFormatting sqref="I3:J3">
    <cfRule type="expression" priority="1" dxfId="19" stopIfTrue="1">
      <formula>$G$283=TRUE</formula>
    </cfRule>
  </conditionalFormatting>
  <dataValidations count="13">
    <dataValidation type="list" allowBlank="1" showInputMessage="1" showErrorMessage="1" sqref="L144:M144 J54 J210 N26">
      <formula1>Euconst_TrueFalse</formula1>
    </dataValidation>
    <dataValidation type="list" allowBlank="1" showInputMessage="1" showErrorMessage="1" sqref="I172:I181">
      <formula1>EUconst_ConnectedEntityTypes</formula1>
    </dataValidation>
    <dataValidation type="list" allowBlank="1" showInputMessage="1" showErrorMessage="1" sqref="K172:L181">
      <formula1>EUconst_ConnectionTypes</formula1>
    </dataValidation>
    <dataValidation type="list" allowBlank="1" showInputMessage="1" showErrorMessage="1" sqref="M172:N181">
      <formula1>EUconst_ConnectionTransferTypes</formula1>
    </dataValidation>
    <dataValidation type="list" allowBlank="1" showInputMessage="1" showErrorMessage="1" sqref="E36:N36">
      <formula1>EUconst_ConfirmAllowUseOfData</formula1>
    </dataValidation>
    <dataValidation type="list" allowBlank="1" showInputMessage="1" showErrorMessage="1" sqref="G118:N121 F117:F121">
      <formula1>EUconst_AnnexIActivities</formula1>
    </dataValidation>
    <dataValidation errorStyle="warning" type="textLength" operator="equal" allowBlank="1" showInputMessage="1" showErrorMessage="1" sqref="L131:L132">
      <formula1>4</formula1>
    </dataValidation>
    <dataValidation type="list" allowBlank="1" showInputMessage="1" showErrorMessage="1" sqref="J51:N51">
      <formula1>EUconst_MSlist</formula1>
    </dataValidation>
    <dataValidation type="list" allowBlank="1" showInputMessage="1" showErrorMessage="1" sqref="E13:N13">
      <formula1>EUconst_ConfirmMergerSplit</formula1>
    </dataValidation>
    <dataValidation type="list" allowBlank="1" showInputMessage="1" showErrorMessage="1" sqref="L18">
      <formula1>EUconst_Days</formula1>
    </dataValidation>
    <dataValidation type="list" allowBlank="1" showInputMessage="1" showErrorMessage="1" sqref="M18">
      <formula1>EUconst_Months</formula1>
    </dataValidation>
    <dataValidation type="list" allowBlank="1" showInputMessage="1" showErrorMessage="1" sqref="N18">
      <formula1>EUconst_ReportingYears</formula1>
    </dataValidation>
    <dataValidation type="list" allowBlank="1" showInputMessage="1" showErrorMessage="1" sqref="L15">
      <formula1>EUconst_MergerSplitOrTransfer</formula1>
    </dataValidation>
  </dataValidations>
  <hyperlinks>
    <hyperlink ref="E128" r:id="rId1" display="http://ec.europa.eu/eurostat/ramon/nomenclatures/index.cfm?TargetUrl=LST_CLS_DLD&amp;StrNom=NACE_REV2&amp;StrLanguageCode=EN&amp;StrLayoutCode=HIERARCHIC"/>
    <hyperlink ref="E126" r:id="rId2" display="http://ec.europa.eu/eurostat/ramon/nomenclatures/index.cfm?TargetUrl=LST_CLS_DLD&amp;StrNom=NACE_1_1&amp;StrLanguageCode=EN&amp;StrLayoutCode=HIERARCHIC"/>
    <hyperlink ref="G2:H2" location="JUMP_Coverpage_Top" display="JUMP_Coverpage_Top"/>
  </hyperlinks>
  <printOptions/>
  <pageMargins left="0.7874015748031497" right="0.7874015748031497" top="0.7874015748031497" bottom="0.7874015748031497" header="0.5118110236220472" footer="0.5118110236220472"/>
  <pageSetup fitToHeight="20" fitToWidth="1" horizontalDpi="600" verticalDpi="600" orientation="portrait" paperSize="9" scale="64" r:id="rId5"/>
  <headerFooter alignWithMargins="0">
    <oddHeader>&amp;L&amp;F; &amp;A&amp;R&amp;D; &amp;T</oddHeader>
    <oddFooter>&amp;C&amp;P / &amp;N</oddFooter>
  </headerFooter>
  <rowBreaks count="1" manualBreakCount="1">
    <brk id="146" min="2" max="13" man="1"/>
  </rowBreaks>
  <legacyDrawing r:id="rId4"/>
</worksheet>
</file>

<file path=xl/worksheets/sheet4.xml><?xml version="1.0" encoding="utf-8"?>
<worksheet xmlns="http://schemas.openxmlformats.org/spreadsheetml/2006/main" xmlns:r="http://schemas.openxmlformats.org/officeDocument/2006/relationships">
  <sheetPr>
    <tabColor rgb="FFFFFF00"/>
  </sheetPr>
  <dimension ref="A1:AA153"/>
  <sheetViews>
    <sheetView zoomScalePageLayoutView="0" workbookViewId="0" topLeftCell="B1">
      <pane ySplit="4" topLeftCell="A5" activePane="bottomLeft" state="frozen"/>
      <selection pane="topLeft" activeCell="F43" sqref="F43"/>
      <selection pane="bottomLeft" activeCell="K83" sqref="K83:N83"/>
    </sheetView>
  </sheetViews>
  <sheetFormatPr defaultColWidth="11.421875" defaultRowHeight="12.75"/>
  <cols>
    <col min="1" max="1" width="4.7109375" style="582" hidden="1" customWidth="1"/>
    <col min="2" max="2" width="2.7109375" style="582" customWidth="1"/>
    <col min="3" max="4" width="4.7109375" style="582" customWidth="1"/>
    <col min="5" max="5" width="12.7109375" style="582" customWidth="1"/>
    <col min="6" max="6" width="26.421875" style="582" customWidth="1"/>
    <col min="7" max="14" width="12.7109375" style="582" customWidth="1"/>
    <col min="15" max="15" width="4.7109375" style="582" customWidth="1"/>
    <col min="16" max="16" width="21.57421875" style="582" hidden="1" customWidth="1"/>
    <col min="17" max="27" width="11.421875" style="512" hidden="1" customWidth="1"/>
    <col min="28" max="16384" width="11.421875" style="582" customWidth="1"/>
  </cols>
  <sheetData>
    <row r="1" spans="1:27" s="4" customFormat="1" ht="13.5" hidden="1" thickBot="1">
      <c r="A1" s="4" t="s">
        <v>484</v>
      </c>
      <c r="P1" s="318" t="s">
        <v>484</v>
      </c>
      <c r="Q1" s="422" t="s">
        <v>484</v>
      </c>
      <c r="R1" s="422" t="s">
        <v>484</v>
      </c>
      <c r="S1" s="439" t="s">
        <v>484</v>
      </c>
      <c r="T1" s="422" t="s">
        <v>484</v>
      </c>
      <c r="U1" s="422" t="s">
        <v>484</v>
      </c>
      <c r="V1" s="422" t="s">
        <v>484</v>
      </c>
      <c r="W1" s="422" t="s">
        <v>484</v>
      </c>
      <c r="X1" s="422" t="s">
        <v>484</v>
      </c>
      <c r="Y1" s="422" t="s">
        <v>484</v>
      </c>
      <c r="Z1" s="422" t="s">
        <v>484</v>
      </c>
      <c r="AA1" s="422" t="s">
        <v>484</v>
      </c>
    </row>
    <row r="2" spans="1:27" s="521" customFormat="1" ht="13.5" customHeight="1" thickBot="1">
      <c r="A2" s="4"/>
      <c r="B2" s="823" t="str">
        <f>Translations!$B$1548</f>
        <v>B. Situazione di partenza</v>
      </c>
      <c r="C2" s="824"/>
      <c r="D2" s="825"/>
      <c r="E2" s="201" t="str">
        <f>Translations!$B$276</f>
        <v>Area di navigazione:</v>
      </c>
      <c r="F2" s="199"/>
      <c r="G2" s="779" t="str">
        <f>Translations!$B$290</f>
        <v>Indice</v>
      </c>
      <c r="H2" s="683"/>
      <c r="I2" s="683" t="str">
        <f>HYPERLINK(U2,Translations!$B$291)</f>
        <v>Foglio precedente</v>
      </c>
      <c r="J2" s="683"/>
      <c r="K2" s="683" t="str">
        <f>HYPERLINK(W2,Translations!$B$277)</f>
        <v>Foglio successivo</v>
      </c>
      <c r="L2" s="683"/>
      <c r="M2" s="683" t="str">
        <f>HYPERLINK(Y2,Translations!$B$278)</f>
        <v>Sintesi </v>
      </c>
      <c r="N2" s="684"/>
      <c r="O2" s="9"/>
      <c r="P2" s="9"/>
      <c r="Q2" s="440" t="s">
        <v>552</v>
      </c>
      <c r="R2" s="440"/>
      <c r="S2" s="677"/>
      <c r="T2" s="678"/>
      <c r="U2" s="679" t="str">
        <f>"#"&amp;ADDRESS(ROW(C6),COLUMN(C6),,,A_InstallationData!Q3)</f>
        <v>#A_InstallationData!$C$6</v>
      </c>
      <c r="V2" s="678"/>
      <c r="W2" s="679" t="str">
        <f>"#"&amp;ADDRESS(ROW(C6),COLUMN(C6),,,C_MergerSplitTransfer!Q3)</f>
        <v>#C_MergerSplitTransfer!$C$6</v>
      </c>
      <c r="X2" s="678"/>
      <c r="Y2" s="679" t="str">
        <f>"#"&amp;ADDRESS(ROW(C6),COLUMN(C6),,,D_Summary!Q3)</f>
        <v>#D_Summary!$C$6</v>
      </c>
      <c r="Z2" s="680"/>
      <c r="AA2" s="422"/>
    </row>
    <row r="3" spans="1:27" s="521" customFormat="1" ht="13.5" customHeight="1" thickBot="1">
      <c r="A3" s="4"/>
      <c r="B3" s="826"/>
      <c r="C3" s="827"/>
      <c r="D3" s="828"/>
      <c r="E3" s="683" t="str">
        <f>HYPERLINK(R3,Translations!$B$279)</f>
        <v>Inizio foglio</v>
      </c>
      <c r="F3" s="745"/>
      <c r="G3" s="780" t="str">
        <f>HYPERLINK(S3,Translations!$B$1498)</f>
        <v>Impianto iniziale 1</v>
      </c>
      <c r="H3" s="741"/>
      <c r="I3" s="740" t="str">
        <f>HYPERLINK(U3,Translations!$B$1499)</f>
        <v>Impianto iniziale 2</v>
      </c>
      <c r="J3" s="741"/>
      <c r="K3" s="740"/>
      <c r="L3" s="741"/>
      <c r="M3" s="740"/>
      <c r="N3" s="741"/>
      <c r="O3" s="9"/>
      <c r="P3" s="9"/>
      <c r="Q3" s="498" t="str">
        <f ca="1">IF(ISERROR(CELL("filename",Q1)),"B_InitialSituation",MID(CELL("filename",Q1),FIND("]",CELL("filename",Q1))+1,1024))</f>
        <v>B_InitialSituation</v>
      </c>
      <c r="R3" s="499" t="str">
        <f>"#"&amp;ADDRESS(ROW(C6),COLUMN(C6))</f>
        <v>#$C$6</v>
      </c>
      <c r="S3" s="717" t="str">
        <f>"#"&amp;ADDRESS(ROW(C10),COLUMN(C10))</f>
        <v>#$C$10</v>
      </c>
      <c r="T3" s="718"/>
      <c r="U3" s="719" t="str">
        <f>"#"&amp;ADDRESS(ROW(C83),COLUMN(C83))</f>
        <v>#$C$83</v>
      </c>
      <c r="V3" s="718"/>
      <c r="W3" s="719"/>
      <c r="X3" s="718"/>
      <c r="Y3" s="719"/>
      <c r="Z3" s="720"/>
      <c r="AA3" s="422"/>
    </row>
    <row r="4" spans="1:27" s="521" customFormat="1" ht="13.5" customHeight="1" thickBot="1">
      <c r="A4" s="4"/>
      <c r="B4" s="829"/>
      <c r="C4" s="830"/>
      <c r="D4" s="831"/>
      <c r="E4" s="683" t="str">
        <f>HYPERLINK(R4,Translations!$B$280)</f>
        <v>Fine foglio</v>
      </c>
      <c r="F4" s="683"/>
      <c r="G4" s="742"/>
      <c r="H4" s="743"/>
      <c r="I4" s="744"/>
      <c r="J4" s="743"/>
      <c r="K4" s="744"/>
      <c r="L4" s="743"/>
      <c r="M4" s="744"/>
      <c r="N4" s="743"/>
      <c r="O4" s="9"/>
      <c r="P4" s="9"/>
      <c r="Q4" s="440"/>
      <c r="R4" s="500" t="str">
        <f>"#"&amp;ADDRESS(ROW(D152),COLUMN(D152))</f>
        <v>#$D$152</v>
      </c>
      <c r="S4" s="711"/>
      <c r="T4" s="712"/>
      <c r="U4" s="713"/>
      <c r="V4" s="712"/>
      <c r="W4" s="713"/>
      <c r="X4" s="712"/>
      <c r="Y4" s="713"/>
      <c r="Z4" s="714"/>
      <c r="AA4" s="422"/>
    </row>
    <row r="5" spans="1:27" s="521" customFormat="1" ht="12.75">
      <c r="A5" s="4"/>
      <c r="B5" s="5"/>
      <c r="C5" s="6"/>
      <c r="D5" s="7"/>
      <c r="E5" s="7"/>
      <c r="F5" s="8"/>
      <c r="G5" s="8"/>
      <c r="H5" s="8"/>
      <c r="I5" s="5"/>
      <c r="J5" s="5"/>
      <c r="K5" s="5"/>
      <c r="L5" s="5"/>
      <c r="M5" s="9"/>
      <c r="N5" s="9"/>
      <c r="O5" s="9"/>
      <c r="P5" s="9"/>
      <c r="Q5" s="440"/>
      <c r="R5" s="422"/>
      <c r="S5" s="422"/>
      <c r="T5" s="422"/>
      <c r="U5" s="422"/>
      <c r="V5" s="422"/>
      <c r="W5" s="422"/>
      <c r="X5" s="422"/>
      <c r="Y5" s="422"/>
      <c r="Z5" s="422"/>
      <c r="AA5" s="422"/>
    </row>
    <row r="6" spans="1:27" s="521" customFormat="1" ht="23.25" customHeight="1">
      <c r="A6" s="4"/>
      <c r="B6" s="5"/>
      <c r="C6" s="11" t="s">
        <v>348</v>
      </c>
      <c r="D6" s="781" t="str">
        <f>Translations!$B$1549</f>
        <v>Scheda "Situazione di partenza"</v>
      </c>
      <c r="E6" s="724"/>
      <c r="F6" s="724"/>
      <c r="G6" s="724"/>
      <c r="H6" s="724"/>
      <c r="I6" s="724"/>
      <c r="J6" s="724"/>
      <c r="K6" s="724"/>
      <c r="L6" s="724"/>
      <c r="M6" s="724"/>
      <c r="N6" s="724"/>
      <c r="O6" s="9"/>
      <c r="P6" s="9"/>
      <c r="Q6" s="422"/>
      <c r="R6" s="422"/>
      <c r="S6" s="422"/>
      <c r="T6" s="422"/>
      <c r="U6" s="422"/>
      <c r="V6" s="422"/>
      <c r="W6" s="422"/>
      <c r="X6" s="422"/>
      <c r="Y6" s="422"/>
      <c r="Z6" s="422"/>
      <c r="AA6" s="422"/>
    </row>
    <row r="7" spans="1:27" s="521" customFormat="1" ht="12.75">
      <c r="A7" s="4"/>
      <c r="B7" s="18"/>
      <c r="C7" s="18"/>
      <c r="D7" s="102"/>
      <c r="E7" s="100"/>
      <c r="F7" s="15"/>
      <c r="G7" s="15"/>
      <c r="H7" s="9"/>
      <c r="I7" s="9"/>
      <c r="J7" s="101"/>
      <c r="K7" s="101"/>
      <c r="L7" s="101"/>
      <c r="M7" s="18"/>
      <c r="N7" s="18"/>
      <c r="O7" s="18"/>
      <c r="P7" s="18"/>
      <c r="Q7" s="422"/>
      <c r="R7" s="422"/>
      <c r="S7" s="422"/>
      <c r="T7" s="422"/>
      <c r="U7" s="422"/>
      <c r="V7" s="422"/>
      <c r="W7" s="422"/>
      <c r="X7" s="422"/>
      <c r="Y7" s="422"/>
      <c r="Z7" s="422"/>
      <c r="AA7" s="422"/>
    </row>
    <row r="8" spans="1:27" s="523" customFormat="1" ht="18" customHeight="1">
      <c r="A8" s="370"/>
      <c r="B8" s="208"/>
      <c r="C8" s="315" t="s">
        <v>41</v>
      </c>
      <c r="D8" s="331" t="str">
        <f>Translations!$B$1550</f>
        <v>Situazione PRIMA della fusione di impianti</v>
      </c>
      <c r="E8" s="331"/>
      <c r="F8" s="331"/>
      <c r="G8" s="331"/>
      <c r="H8" s="331"/>
      <c r="I8" s="331"/>
      <c r="J8" s="331"/>
      <c r="K8" s="331"/>
      <c r="L8" s="331"/>
      <c r="M8" s="331"/>
      <c r="N8" s="331"/>
      <c r="O8" s="209"/>
      <c r="P8" s="209"/>
      <c r="Q8" s="362" t="s">
        <v>332</v>
      </c>
      <c r="R8" s="362" t="s">
        <v>332</v>
      </c>
      <c r="S8" s="362" t="s">
        <v>332</v>
      </c>
      <c r="T8" s="362" t="s">
        <v>332</v>
      </c>
      <c r="U8" s="362" t="s">
        <v>332</v>
      </c>
      <c r="V8" s="362" t="s">
        <v>332</v>
      </c>
      <c r="W8" s="362" t="s">
        <v>332</v>
      </c>
      <c r="X8" s="362" t="s">
        <v>332</v>
      </c>
      <c r="Y8" s="362" t="s">
        <v>332</v>
      </c>
      <c r="Z8" s="362" t="s">
        <v>332</v>
      </c>
      <c r="AA8" s="362"/>
    </row>
    <row r="9" spans="1:27" s="521" customFormat="1" ht="12.75" customHeight="1" thickBot="1">
      <c r="A9" s="4"/>
      <c r="B9" s="5"/>
      <c r="C9" s="5"/>
      <c r="D9" s="5"/>
      <c r="E9" s="5"/>
      <c r="F9" s="5"/>
      <c r="G9" s="5"/>
      <c r="H9" s="5"/>
      <c r="I9" s="5"/>
      <c r="J9" s="5"/>
      <c r="K9" s="5"/>
      <c r="L9" s="5"/>
      <c r="M9" s="9"/>
      <c r="N9" s="9"/>
      <c r="O9" s="9"/>
      <c r="P9" s="9"/>
      <c r="Q9" s="440"/>
      <c r="R9" s="422"/>
      <c r="S9" s="422"/>
      <c r="T9" s="422"/>
      <c r="U9" s="422"/>
      <c r="V9" s="422"/>
      <c r="W9" s="422"/>
      <c r="X9" s="422"/>
      <c r="Y9" s="422"/>
      <c r="Z9" s="422"/>
      <c r="AA9" s="422"/>
    </row>
    <row r="10" spans="1:27" s="524" customFormat="1" ht="18" customHeight="1" thickBot="1">
      <c r="A10" s="207"/>
      <c r="B10" s="208"/>
      <c r="C10" s="336">
        <v>1</v>
      </c>
      <c r="D10" s="945" t="str">
        <f>Translations!$B$1492&amp;" "&amp;C10&amp;":"</f>
        <v>Impianto PRIMA della fusione, della scissione o del trasferimento 1:</v>
      </c>
      <c r="E10" s="945"/>
      <c r="F10" s="945"/>
      <c r="G10" s="945"/>
      <c r="H10" s="945"/>
      <c r="I10" s="945"/>
      <c r="J10" s="946"/>
      <c r="K10" s="967">
        <f>INDEX(A_InstallationData!$J$200:$J$273,MATCH($C10,A_InstallationData!$R$200:$R$273,0))</f>
      </c>
      <c r="L10" s="968"/>
      <c r="M10" s="968"/>
      <c r="N10" s="969"/>
      <c r="O10" s="338"/>
      <c r="P10" s="330"/>
      <c r="Q10" s="501"/>
      <c r="R10" s="444"/>
      <c r="S10" s="444"/>
      <c r="T10" s="422"/>
      <c r="U10" s="444"/>
      <c r="V10" s="444"/>
      <c r="W10" s="444"/>
      <c r="X10" s="444"/>
      <c r="Y10" s="444"/>
      <c r="Z10" s="446" t="s">
        <v>299</v>
      </c>
      <c r="AA10" s="422"/>
    </row>
    <row r="11" spans="1:27" s="521" customFormat="1" ht="18" customHeight="1">
      <c r="A11" s="4"/>
      <c r="B11" s="5"/>
      <c r="C11" s="7"/>
      <c r="D11" s="5"/>
      <c r="E11" s="9"/>
      <c r="F11" s="5"/>
      <c r="G11" s="5"/>
      <c r="H11" s="5"/>
      <c r="I11" s="5"/>
      <c r="J11" s="5"/>
      <c r="K11" s="5"/>
      <c r="L11" s="5"/>
      <c r="M11" s="956">
        <f>IF(CNTR_Merger&lt;&gt;TRUE,"",IF(K10="",EUconst_NotRelevant,EUconst_Relevant))</f>
      </c>
      <c r="N11" s="956"/>
      <c r="O11" s="314"/>
      <c r="P11" s="9"/>
      <c r="Q11" s="440"/>
      <c r="R11" s="422"/>
      <c r="S11" s="422"/>
      <c r="T11" s="422"/>
      <c r="U11" s="422"/>
      <c r="V11" s="422"/>
      <c r="W11" s="422"/>
      <c r="X11" s="422"/>
      <c r="Y11" s="422"/>
      <c r="Z11" s="422"/>
      <c r="AA11" s="422"/>
    </row>
    <row r="12" spans="1:27" s="521" customFormat="1" ht="12.75" customHeight="1">
      <c r="A12" s="4"/>
      <c r="B12" s="5"/>
      <c r="C12" s="7"/>
      <c r="D12" s="5"/>
      <c r="E12" s="5"/>
      <c r="F12" s="5"/>
      <c r="G12" s="5"/>
      <c r="H12" s="5"/>
      <c r="I12" s="5"/>
      <c r="J12" s="5"/>
      <c r="K12" s="5"/>
      <c r="L12" s="5"/>
      <c r="M12" s="9"/>
      <c r="N12" s="9"/>
      <c r="O12" s="314"/>
      <c r="P12" s="9"/>
      <c r="Q12" s="440"/>
      <c r="R12" s="422"/>
      <c r="S12" s="422"/>
      <c r="T12" s="422"/>
      <c r="U12" s="422"/>
      <c r="V12" s="422"/>
      <c r="W12" s="422"/>
      <c r="X12" s="422"/>
      <c r="Y12" s="422"/>
      <c r="Z12" s="422"/>
      <c r="AA12" s="422"/>
    </row>
    <row r="13" spans="1:27" s="521" customFormat="1" ht="12.75" customHeight="1">
      <c r="A13" s="4"/>
      <c r="B13" s="5"/>
      <c r="C13" s="5"/>
      <c r="D13" s="193" t="s">
        <v>462</v>
      </c>
      <c r="E13" s="728" t="str">
        <f>Translations!$B$1551</f>
        <v>Assegnazione definitiva più recente senza fattori di adeguamento per eventuali cessazioni parziali</v>
      </c>
      <c r="F13" s="724"/>
      <c r="G13" s="724"/>
      <c r="H13" s="724"/>
      <c r="I13" s="724"/>
      <c r="J13" s="724"/>
      <c r="K13" s="724"/>
      <c r="L13" s="724"/>
      <c r="M13" s="724"/>
      <c r="N13" s="724"/>
      <c r="O13" s="316"/>
      <c r="P13" s="377"/>
      <c r="Q13" s="440"/>
      <c r="R13" s="422"/>
      <c r="S13" s="422"/>
      <c r="T13" s="422"/>
      <c r="U13" s="422"/>
      <c r="V13" s="422"/>
      <c r="W13" s="422"/>
      <c r="X13" s="422"/>
      <c r="Y13" s="422"/>
      <c r="Z13" s="422"/>
      <c r="AA13" s="422"/>
    </row>
    <row r="14" spans="1:27" s="521" customFormat="1" ht="12.75" customHeight="1">
      <c r="A14" s="4"/>
      <c r="B14" s="5"/>
      <c r="C14" s="5"/>
      <c r="D14" s="193"/>
      <c r="E14" s="787" t="str">
        <f>Translations!$B$1552</f>
        <v>Si prega di inserire qui il totale finale più recente di quote assegnate a titolo gratuito senza l’applicazione di fattori di adeguamento, ai sensi dell'articolo 23 delle CIM.</v>
      </c>
      <c r="F14" s="723"/>
      <c r="G14" s="723"/>
      <c r="H14" s="723"/>
      <c r="I14" s="723"/>
      <c r="J14" s="723"/>
      <c r="K14" s="723"/>
      <c r="L14" s="723"/>
      <c r="M14" s="723"/>
      <c r="N14" s="723"/>
      <c r="O14" s="316"/>
      <c r="P14" s="322"/>
      <c r="Q14" s="440"/>
      <c r="R14" s="422"/>
      <c r="S14" s="422"/>
      <c r="T14" s="422"/>
      <c r="U14" s="422"/>
      <c r="V14" s="422"/>
      <c r="W14" s="422"/>
      <c r="X14" s="422"/>
      <c r="Y14" s="422"/>
      <c r="Z14" s="422"/>
      <c r="AA14" s="422"/>
    </row>
    <row r="15" spans="1:27" s="521" customFormat="1" ht="4.5" customHeight="1">
      <c r="A15" s="4"/>
      <c r="B15" s="5"/>
      <c r="C15" s="5"/>
      <c r="D15" s="5"/>
      <c r="E15" s="5"/>
      <c r="F15" s="5"/>
      <c r="G15" s="5"/>
      <c r="H15" s="5"/>
      <c r="I15" s="5"/>
      <c r="J15" s="5"/>
      <c r="K15" s="5"/>
      <c r="L15" s="5"/>
      <c r="M15" s="9"/>
      <c r="N15" s="9"/>
      <c r="O15" s="322"/>
      <c r="P15" s="9"/>
      <c r="Q15" s="440"/>
      <c r="R15" s="422"/>
      <c r="S15" s="422"/>
      <c r="T15" s="422"/>
      <c r="U15" s="422"/>
      <c r="V15" s="422"/>
      <c r="W15" s="422"/>
      <c r="X15" s="422"/>
      <c r="Y15" s="422"/>
      <c r="Z15" s="422"/>
      <c r="AA15" s="422"/>
    </row>
    <row r="16" spans="1:27" s="521" customFormat="1" ht="12.75" customHeight="1" thickBot="1">
      <c r="A16" s="4"/>
      <c r="B16" s="5"/>
      <c r="C16" s="20"/>
      <c r="D16" s="791" t="str">
        <f>Translations!$B$440</f>
        <v>Sottoimpianto</v>
      </c>
      <c r="E16" s="867"/>
      <c r="F16" s="963"/>
      <c r="G16" s="211">
        <v>2013</v>
      </c>
      <c r="H16" s="211">
        <v>2014</v>
      </c>
      <c r="I16" s="211">
        <v>2015</v>
      </c>
      <c r="J16" s="211">
        <v>2016</v>
      </c>
      <c r="K16" s="211">
        <v>2017</v>
      </c>
      <c r="L16" s="211">
        <v>2018</v>
      </c>
      <c r="M16" s="211">
        <v>2019</v>
      </c>
      <c r="N16" s="211">
        <v>2020</v>
      </c>
      <c r="O16" s="322"/>
      <c r="P16" s="320"/>
      <c r="Q16" s="440"/>
      <c r="R16" s="422"/>
      <c r="S16" s="422"/>
      <c r="T16" s="448" t="s">
        <v>497</v>
      </c>
      <c r="U16" s="422"/>
      <c r="V16" s="448" t="s">
        <v>545</v>
      </c>
      <c r="W16" s="422"/>
      <c r="X16" s="449" t="s">
        <v>546</v>
      </c>
      <c r="Y16" s="422"/>
      <c r="Z16" s="446" t="s">
        <v>299</v>
      </c>
      <c r="AA16" s="422"/>
    </row>
    <row r="17" spans="1:27" s="521" customFormat="1" ht="12.75" customHeight="1" thickBot="1">
      <c r="A17" s="4"/>
      <c r="B17" s="5"/>
      <c r="C17" s="210">
        <v>0</v>
      </c>
      <c r="D17" s="939" t="str">
        <f>Translations!$B$1447</f>
        <v>Fase prima dell'avvio</v>
      </c>
      <c r="E17" s="940"/>
      <c r="F17" s="941"/>
      <c r="G17" s="513"/>
      <c r="H17" s="513"/>
      <c r="I17" s="513"/>
      <c r="J17" s="513"/>
      <c r="K17" s="513"/>
      <c r="L17" s="513"/>
      <c r="M17" s="513"/>
      <c r="N17" s="513"/>
      <c r="O17" s="322"/>
      <c r="P17" s="320"/>
      <c r="Q17" s="450" t="str">
        <f aca="true" t="shared" si="0" ref="Q17:Q34">EUconst_CNTR_Finitial&amp;$V17&amp;"_"&amp;$D17</f>
        <v>FInitial_1_Fase prima dell'avvio</v>
      </c>
      <c r="R17" s="422"/>
      <c r="S17" s="422"/>
      <c r="T17" s="448"/>
      <c r="U17" s="422"/>
      <c r="V17" s="451">
        <f>C10</f>
        <v>1</v>
      </c>
      <c r="W17" s="422"/>
      <c r="X17" s="447" t="b">
        <f aca="true" t="shared" si="1" ref="X17:X34">COUNT(G17:N17)&gt;0</f>
        <v>0</v>
      </c>
      <c r="Y17" s="422"/>
      <c r="Z17" s="447" t="b">
        <f>M11=EUconst_NotRelevant</f>
        <v>0</v>
      </c>
      <c r="AA17" s="422"/>
    </row>
    <row r="18" spans="1:27" s="521" customFormat="1" ht="12.75" customHeight="1">
      <c r="A18" s="4"/>
      <c r="B18" s="5"/>
      <c r="C18" s="29">
        <v>1</v>
      </c>
      <c r="D18" s="964"/>
      <c r="E18" s="965"/>
      <c r="F18" s="966"/>
      <c r="G18" s="347"/>
      <c r="H18" s="347"/>
      <c r="I18" s="347"/>
      <c r="J18" s="347"/>
      <c r="K18" s="347"/>
      <c r="L18" s="347"/>
      <c r="M18" s="347"/>
      <c r="N18" s="347"/>
      <c r="O18" s="322"/>
      <c r="P18" s="320"/>
      <c r="Q18" s="450" t="str">
        <f t="shared" si="0"/>
        <v>FInitial_1_</v>
      </c>
      <c r="R18" s="422"/>
      <c r="S18" s="422"/>
      <c r="T18" s="451">
        <f>IF(OR(D18="",COUNTIF($D$17:D18,D18)&gt;1),"",MAX($T$17:T17)+1)</f>
      </c>
      <c r="U18" s="422"/>
      <c r="V18" s="452">
        <f aca="true" t="shared" si="2" ref="V18:V34">V17</f>
        <v>1</v>
      </c>
      <c r="W18" s="422"/>
      <c r="X18" s="447" t="b">
        <f t="shared" si="1"/>
        <v>0</v>
      </c>
      <c r="Y18" s="422"/>
      <c r="Z18" s="447" t="b">
        <f aca="true" t="shared" si="3" ref="Z18:Z35">Z17</f>
        <v>0</v>
      </c>
      <c r="AA18" s="422"/>
    </row>
    <row r="19" spans="1:27" s="521" customFormat="1" ht="12.75" customHeight="1">
      <c r="A19" s="4"/>
      <c r="B19" s="5"/>
      <c r="C19" s="29">
        <v>2</v>
      </c>
      <c r="D19" s="864"/>
      <c r="E19" s="874"/>
      <c r="F19" s="868"/>
      <c r="G19" s="346"/>
      <c r="H19" s="346"/>
      <c r="I19" s="346"/>
      <c r="J19" s="346"/>
      <c r="K19" s="346"/>
      <c r="L19" s="346"/>
      <c r="M19" s="346"/>
      <c r="N19" s="346"/>
      <c r="O19" s="322"/>
      <c r="P19" s="320"/>
      <c r="Q19" s="450" t="str">
        <f t="shared" si="0"/>
        <v>FInitial_1_</v>
      </c>
      <c r="R19" s="422"/>
      <c r="S19" s="422"/>
      <c r="T19" s="452">
        <f>IF(OR(D19="",COUNTIF($D$17:D19,D19)&gt;1),"",MAX($T$17:T18)+1)</f>
      </c>
      <c r="U19" s="422"/>
      <c r="V19" s="452">
        <f t="shared" si="2"/>
        <v>1</v>
      </c>
      <c r="W19" s="422"/>
      <c r="X19" s="447" t="b">
        <f t="shared" si="1"/>
        <v>0</v>
      </c>
      <c r="Y19" s="422"/>
      <c r="Z19" s="447" t="b">
        <f t="shared" si="3"/>
        <v>0</v>
      </c>
      <c r="AA19" s="422"/>
    </row>
    <row r="20" spans="1:27" s="521" customFormat="1" ht="12.75" customHeight="1">
      <c r="A20" s="4"/>
      <c r="B20" s="5"/>
      <c r="C20" s="29">
        <v>3</v>
      </c>
      <c r="D20" s="864"/>
      <c r="E20" s="874"/>
      <c r="F20" s="868"/>
      <c r="G20" s="346"/>
      <c r="H20" s="346"/>
      <c r="I20" s="346"/>
      <c r="J20" s="346"/>
      <c r="K20" s="346"/>
      <c r="L20" s="346"/>
      <c r="M20" s="346"/>
      <c r="N20" s="346"/>
      <c r="O20" s="322"/>
      <c r="P20" s="320"/>
      <c r="Q20" s="450" t="str">
        <f t="shared" si="0"/>
        <v>FInitial_1_</v>
      </c>
      <c r="R20" s="422"/>
      <c r="S20" s="422"/>
      <c r="T20" s="452">
        <f>IF(OR(D20="",COUNTIF($D$17:D20,D20)&gt;1),"",MAX($T$17:T19)+1)</f>
      </c>
      <c r="U20" s="422"/>
      <c r="V20" s="452">
        <f t="shared" si="2"/>
        <v>1</v>
      </c>
      <c r="W20" s="422"/>
      <c r="X20" s="447" t="b">
        <f t="shared" si="1"/>
        <v>0</v>
      </c>
      <c r="Y20" s="422"/>
      <c r="Z20" s="447" t="b">
        <f t="shared" si="3"/>
        <v>0</v>
      </c>
      <c r="AA20" s="422"/>
    </row>
    <row r="21" spans="1:27" s="521" customFormat="1" ht="12.75" customHeight="1">
      <c r="A21" s="4"/>
      <c r="B21" s="5"/>
      <c r="C21" s="29">
        <v>4</v>
      </c>
      <c r="D21" s="864"/>
      <c r="E21" s="874"/>
      <c r="F21" s="868"/>
      <c r="G21" s="346"/>
      <c r="H21" s="346"/>
      <c r="I21" s="346"/>
      <c r="J21" s="346"/>
      <c r="K21" s="346"/>
      <c r="L21" s="346"/>
      <c r="M21" s="346"/>
      <c r="N21" s="346"/>
      <c r="O21" s="322"/>
      <c r="P21" s="320"/>
      <c r="Q21" s="450" t="str">
        <f t="shared" si="0"/>
        <v>FInitial_1_</v>
      </c>
      <c r="R21" s="422"/>
      <c r="S21" s="422"/>
      <c r="T21" s="452">
        <f>IF(OR(D21="",COUNTIF($D$17:D21,D21)&gt;1),"",MAX($T$17:T20)+1)</f>
      </c>
      <c r="U21" s="422"/>
      <c r="V21" s="452">
        <f t="shared" si="2"/>
        <v>1</v>
      </c>
      <c r="W21" s="422"/>
      <c r="X21" s="447" t="b">
        <f t="shared" si="1"/>
        <v>0</v>
      </c>
      <c r="Y21" s="422"/>
      <c r="Z21" s="447" t="b">
        <f t="shared" si="3"/>
        <v>0</v>
      </c>
      <c r="AA21" s="422"/>
    </row>
    <row r="22" spans="1:27" s="521" customFormat="1" ht="12.75" customHeight="1">
      <c r="A22" s="4"/>
      <c r="B22" s="5"/>
      <c r="C22" s="29">
        <v>5</v>
      </c>
      <c r="D22" s="864"/>
      <c r="E22" s="874"/>
      <c r="F22" s="868"/>
      <c r="G22" s="346"/>
      <c r="H22" s="346"/>
      <c r="I22" s="346"/>
      <c r="J22" s="346"/>
      <c r="K22" s="346"/>
      <c r="L22" s="346"/>
      <c r="M22" s="346"/>
      <c r="N22" s="346"/>
      <c r="O22" s="322"/>
      <c r="P22" s="320"/>
      <c r="Q22" s="450" t="str">
        <f t="shared" si="0"/>
        <v>FInitial_1_</v>
      </c>
      <c r="R22" s="422"/>
      <c r="S22" s="422"/>
      <c r="T22" s="452">
        <f>IF(OR(D22="",COUNTIF($D$17:D22,D22)&gt;1),"",MAX($T$17:T21)+1)</f>
      </c>
      <c r="U22" s="422"/>
      <c r="V22" s="452">
        <f t="shared" si="2"/>
        <v>1</v>
      </c>
      <c r="W22" s="422"/>
      <c r="X22" s="447" t="b">
        <f t="shared" si="1"/>
        <v>0</v>
      </c>
      <c r="Y22" s="422"/>
      <c r="Z22" s="447" t="b">
        <f t="shared" si="3"/>
        <v>0</v>
      </c>
      <c r="AA22" s="422"/>
    </row>
    <row r="23" spans="1:27" s="521" customFormat="1" ht="12.75" customHeight="1">
      <c r="A23" s="4"/>
      <c r="B23" s="5"/>
      <c r="C23" s="29">
        <v>6</v>
      </c>
      <c r="D23" s="864"/>
      <c r="E23" s="874"/>
      <c r="F23" s="868"/>
      <c r="G23" s="346"/>
      <c r="H23" s="346"/>
      <c r="I23" s="346"/>
      <c r="J23" s="346"/>
      <c r="K23" s="346"/>
      <c r="L23" s="346"/>
      <c r="M23" s="346"/>
      <c r="N23" s="346"/>
      <c r="O23" s="322"/>
      <c r="P23" s="9"/>
      <c r="Q23" s="450" t="str">
        <f t="shared" si="0"/>
        <v>FInitial_1_</v>
      </c>
      <c r="R23" s="422"/>
      <c r="S23" s="422"/>
      <c r="T23" s="452">
        <f>IF(OR(D23="",COUNTIF($D$17:D23,D23)&gt;1),"",MAX($T$17:T22)+1)</f>
      </c>
      <c r="U23" s="422"/>
      <c r="V23" s="452">
        <f t="shared" si="2"/>
        <v>1</v>
      </c>
      <c r="W23" s="422"/>
      <c r="X23" s="447" t="b">
        <f t="shared" si="1"/>
        <v>0</v>
      </c>
      <c r="Y23" s="422"/>
      <c r="Z23" s="447" t="b">
        <f t="shared" si="3"/>
        <v>0</v>
      </c>
      <c r="AA23" s="422"/>
    </row>
    <row r="24" spans="1:27" s="521" customFormat="1" ht="12.75" customHeight="1">
      <c r="A24" s="4"/>
      <c r="B24" s="5"/>
      <c r="C24" s="29">
        <v>7</v>
      </c>
      <c r="D24" s="864"/>
      <c r="E24" s="874"/>
      <c r="F24" s="868"/>
      <c r="G24" s="346"/>
      <c r="H24" s="346"/>
      <c r="I24" s="346"/>
      <c r="J24" s="346"/>
      <c r="K24" s="346"/>
      <c r="L24" s="346"/>
      <c r="M24" s="346"/>
      <c r="N24" s="346"/>
      <c r="O24" s="322"/>
      <c r="P24" s="9"/>
      <c r="Q24" s="450" t="str">
        <f t="shared" si="0"/>
        <v>FInitial_1_</v>
      </c>
      <c r="R24" s="422"/>
      <c r="S24" s="422"/>
      <c r="T24" s="452">
        <f>IF(OR(D24="",COUNTIF($D$17:D24,D24)&gt;1),"",MAX($T$17:T23)+1)</f>
      </c>
      <c r="U24" s="422"/>
      <c r="V24" s="452">
        <f t="shared" si="2"/>
        <v>1</v>
      </c>
      <c r="W24" s="422"/>
      <c r="X24" s="447" t="b">
        <f t="shared" si="1"/>
        <v>0</v>
      </c>
      <c r="Y24" s="422"/>
      <c r="Z24" s="447" t="b">
        <f t="shared" si="3"/>
        <v>0</v>
      </c>
      <c r="AA24" s="422"/>
    </row>
    <row r="25" spans="1:27" s="521" customFormat="1" ht="12.75" customHeight="1">
      <c r="A25" s="4"/>
      <c r="B25" s="5"/>
      <c r="C25" s="29">
        <v>8</v>
      </c>
      <c r="D25" s="864"/>
      <c r="E25" s="874"/>
      <c r="F25" s="868"/>
      <c r="G25" s="346"/>
      <c r="H25" s="346"/>
      <c r="I25" s="346"/>
      <c r="J25" s="346"/>
      <c r="K25" s="346"/>
      <c r="L25" s="346"/>
      <c r="M25" s="346"/>
      <c r="N25" s="346"/>
      <c r="O25" s="322"/>
      <c r="P25" s="9"/>
      <c r="Q25" s="450" t="str">
        <f t="shared" si="0"/>
        <v>FInitial_1_</v>
      </c>
      <c r="R25" s="422"/>
      <c r="S25" s="422"/>
      <c r="T25" s="452">
        <f>IF(OR(D25="",COUNTIF($D$17:D25,D25)&gt;1),"",MAX($T$17:T24)+1)</f>
      </c>
      <c r="U25" s="422"/>
      <c r="V25" s="452">
        <f t="shared" si="2"/>
        <v>1</v>
      </c>
      <c r="W25" s="422"/>
      <c r="X25" s="447" t="b">
        <f t="shared" si="1"/>
        <v>0</v>
      </c>
      <c r="Y25" s="422"/>
      <c r="Z25" s="447" t="b">
        <f t="shared" si="3"/>
        <v>0</v>
      </c>
      <c r="AA25" s="422"/>
    </row>
    <row r="26" spans="1:27" s="521" customFormat="1" ht="12.75" customHeight="1">
      <c r="A26" s="4"/>
      <c r="B26" s="5"/>
      <c r="C26" s="29">
        <v>9</v>
      </c>
      <c r="D26" s="864"/>
      <c r="E26" s="874"/>
      <c r="F26" s="868"/>
      <c r="G26" s="346"/>
      <c r="H26" s="346"/>
      <c r="I26" s="346"/>
      <c r="J26" s="346"/>
      <c r="K26" s="346"/>
      <c r="L26" s="346"/>
      <c r="M26" s="346"/>
      <c r="N26" s="346"/>
      <c r="O26" s="322"/>
      <c r="P26" s="9"/>
      <c r="Q26" s="450" t="str">
        <f t="shared" si="0"/>
        <v>FInitial_1_</v>
      </c>
      <c r="R26" s="422"/>
      <c r="S26" s="422"/>
      <c r="T26" s="452">
        <f>IF(OR(D26="",COUNTIF($D$17:D26,D26)&gt;1),"",MAX($T$17:T25)+1)</f>
      </c>
      <c r="U26" s="422"/>
      <c r="V26" s="452">
        <f t="shared" si="2"/>
        <v>1</v>
      </c>
      <c r="W26" s="422"/>
      <c r="X26" s="447" t="b">
        <f t="shared" si="1"/>
        <v>0</v>
      </c>
      <c r="Y26" s="422"/>
      <c r="Z26" s="447" t="b">
        <f t="shared" si="3"/>
        <v>0</v>
      </c>
      <c r="AA26" s="422"/>
    </row>
    <row r="27" spans="1:27" s="521" customFormat="1" ht="12.75" customHeight="1" thickBot="1">
      <c r="A27" s="4"/>
      <c r="B27" s="5"/>
      <c r="C27" s="25">
        <v>10</v>
      </c>
      <c r="D27" s="881"/>
      <c r="E27" s="889"/>
      <c r="F27" s="883"/>
      <c r="G27" s="187"/>
      <c r="H27" s="187"/>
      <c r="I27" s="187"/>
      <c r="J27" s="187"/>
      <c r="K27" s="187"/>
      <c r="L27" s="187"/>
      <c r="M27" s="187"/>
      <c r="N27" s="187"/>
      <c r="O27" s="322"/>
      <c r="P27" s="9"/>
      <c r="Q27" s="450" t="str">
        <f t="shared" si="0"/>
        <v>FInitial_1_</v>
      </c>
      <c r="R27" s="422"/>
      <c r="S27" s="422"/>
      <c r="T27" s="453">
        <f>IF(OR(D27="",COUNTIF($D$17:D27,D27)&gt;1),"",MAX($T$17:T26)+1)</f>
      </c>
      <c r="U27" s="422"/>
      <c r="V27" s="452">
        <f t="shared" si="2"/>
        <v>1</v>
      </c>
      <c r="W27" s="422"/>
      <c r="X27" s="447" t="b">
        <f t="shared" si="1"/>
        <v>0</v>
      </c>
      <c r="Y27" s="422"/>
      <c r="Z27" s="447" t="b">
        <f t="shared" si="3"/>
        <v>0</v>
      </c>
      <c r="AA27" s="422"/>
    </row>
    <row r="28" spans="1:27" s="521" customFormat="1" ht="12.75" customHeight="1">
      <c r="A28" s="4"/>
      <c r="B28" s="5"/>
      <c r="C28" s="29">
        <v>11</v>
      </c>
      <c r="D28" s="936" t="str">
        <f aca="true" t="shared" si="4" ref="D28:D33">INDEX(EUconst_FallBackListNames,C28-10)</f>
        <v>Sottoimpianto oggetto di un parametro di riferimento relativo al calore, CL</v>
      </c>
      <c r="E28" s="937"/>
      <c r="F28" s="938"/>
      <c r="G28" s="347"/>
      <c r="H28" s="347"/>
      <c r="I28" s="347"/>
      <c r="J28" s="347"/>
      <c r="K28" s="347"/>
      <c r="L28" s="347"/>
      <c r="M28" s="347"/>
      <c r="N28" s="347"/>
      <c r="O28" s="322"/>
      <c r="P28" s="9"/>
      <c r="Q28" s="450" t="str">
        <f t="shared" si="0"/>
        <v>FInitial_1_Sottoimpianto oggetto di un parametro di riferimento relativo al calore, CL</v>
      </c>
      <c r="R28" s="422"/>
      <c r="S28" s="422"/>
      <c r="T28" s="422"/>
      <c r="U28" s="422"/>
      <c r="V28" s="452">
        <f t="shared" si="2"/>
        <v>1</v>
      </c>
      <c r="W28" s="422"/>
      <c r="X28" s="447" t="b">
        <f t="shared" si="1"/>
        <v>0</v>
      </c>
      <c r="Y28" s="422"/>
      <c r="Z28" s="447" t="b">
        <f t="shared" si="3"/>
        <v>0</v>
      </c>
      <c r="AA28" s="422"/>
    </row>
    <row r="29" spans="1:27" s="521" customFormat="1" ht="12.75" customHeight="1">
      <c r="A29" s="4"/>
      <c r="B29" s="5"/>
      <c r="C29" s="29">
        <v>12</v>
      </c>
      <c r="D29" s="947" t="str">
        <f t="shared" si="4"/>
        <v>Sottoimpianto oggetto di un parametro di riferimento relativo al calore, non CL</v>
      </c>
      <c r="E29" s="948"/>
      <c r="F29" s="949"/>
      <c r="G29" s="346"/>
      <c r="H29" s="346"/>
      <c r="I29" s="346"/>
      <c r="J29" s="346"/>
      <c r="K29" s="346"/>
      <c r="L29" s="346"/>
      <c r="M29" s="346"/>
      <c r="N29" s="346"/>
      <c r="O29" s="322"/>
      <c r="P29" s="9"/>
      <c r="Q29" s="450" t="str">
        <f t="shared" si="0"/>
        <v>FInitial_1_Sottoimpianto oggetto di un parametro di riferimento relativo al calore, non CL</v>
      </c>
      <c r="R29" s="422"/>
      <c r="S29" s="422"/>
      <c r="T29" s="422"/>
      <c r="U29" s="422"/>
      <c r="V29" s="452">
        <f t="shared" si="2"/>
        <v>1</v>
      </c>
      <c r="W29" s="422"/>
      <c r="X29" s="447" t="b">
        <f t="shared" si="1"/>
        <v>0</v>
      </c>
      <c r="Y29" s="422"/>
      <c r="Z29" s="447" t="b">
        <f t="shared" si="3"/>
        <v>0</v>
      </c>
      <c r="AA29" s="422"/>
    </row>
    <row r="30" spans="1:27" s="521" customFormat="1" ht="12.75" customHeight="1">
      <c r="A30" s="4"/>
      <c r="B30" s="5"/>
      <c r="C30" s="29">
        <v>13</v>
      </c>
      <c r="D30" s="947" t="str">
        <f t="shared" si="4"/>
        <v>Sottoimpianto oggetto di un parametro di riferimento relativo al combustibile, CL</v>
      </c>
      <c r="E30" s="948"/>
      <c r="F30" s="949"/>
      <c r="G30" s="346"/>
      <c r="H30" s="346"/>
      <c r="I30" s="346"/>
      <c r="J30" s="346"/>
      <c r="K30" s="346"/>
      <c r="L30" s="346"/>
      <c r="M30" s="346"/>
      <c r="N30" s="346"/>
      <c r="O30" s="322"/>
      <c r="P30" s="9"/>
      <c r="Q30" s="450" t="str">
        <f t="shared" si="0"/>
        <v>FInitial_1_Sottoimpianto oggetto di un parametro di riferimento relativo al combustibile, CL</v>
      </c>
      <c r="R30" s="422"/>
      <c r="S30" s="422"/>
      <c r="T30" s="422"/>
      <c r="U30" s="422"/>
      <c r="V30" s="452">
        <f t="shared" si="2"/>
        <v>1</v>
      </c>
      <c r="W30" s="422"/>
      <c r="X30" s="447" t="b">
        <f t="shared" si="1"/>
        <v>0</v>
      </c>
      <c r="Y30" s="422"/>
      <c r="Z30" s="447" t="b">
        <f t="shared" si="3"/>
        <v>0</v>
      </c>
      <c r="AA30" s="422"/>
    </row>
    <row r="31" spans="1:27" s="521" customFormat="1" ht="12.75" customHeight="1">
      <c r="A31" s="4"/>
      <c r="B31" s="5"/>
      <c r="C31" s="29">
        <v>14</v>
      </c>
      <c r="D31" s="947" t="str">
        <f t="shared" si="4"/>
        <v>Sottoimpianto oggetto di un parametro di riferimento relativo al combustibile, non CL</v>
      </c>
      <c r="E31" s="948"/>
      <c r="F31" s="949"/>
      <c r="G31" s="346"/>
      <c r="H31" s="346"/>
      <c r="I31" s="346"/>
      <c r="J31" s="346"/>
      <c r="K31" s="346"/>
      <c r="L31" s="346"/>
      <c r="M31" s="346"/>
      <c r="N31" s="346"/>
      <c r="O31" s="322"/>
      <c r="P31" s="9"/>
      <c r="Q31" s="450" t="str">
        <f t="shared" si="0"/>
        <v>FInitial_1_Sottoimpianto oggetto di un parametro di riferimento relativo al combustibile, non CL</v>
      </c>
      <c r="R31" s="422"/>
      <c r="S31" s="422"/>
      <c r="T31" s="422"/>
      <c r="U31" s="422"/>
      <c r="V31" s="452">
        <f t="shared" si="2"/>
        <v>1</v>
      </c>
      <c r="W31" s="422"/>
      <c r="X31" s="447" t="b">
        <f t="shared" si="1"/>
        <v>0</v>
      </c>
      <c r="Y31" s="422"/>
      <c r="Z31" s="447" t="b">
        <f t="shared" si="3"/>
        <v>0</v>
      </c>
      <c r="AA31" s="422"/>
    </row>
    <row r="32" spans="1:27" s="521" customFormat="1" ht="12.75" customHeight="1">
      <c r="A32" s="4"/>
      <c r="B32" s="5"/>
      <c r="C32" s="29">
        <v>15</v>
      </c>
      <c r="D32" s="947" t="str">
        <f t="shared" si="4"/>
        <v>Sottoimpianto con emissioni di processo, CL</v>
      </c>
      <c r="E32" s="948"/>
      <c r="F32" s="949"/>
      <c r="G32" s="346"/>
      <c r="H32" s="346"/>
      <c r="I32" s="346"/>
      <c r="J32" s="346"/>
      <c r="K32" s="346"/>
      <c r="L32" s="346"/>
      <c r="M32" s="346"/>
      <c r="N32" s="346"/>
      <c r="O32" s="322"/>
      <c r="P32" s="9"/>
      <c r="Q32" s="450" t="str">
        <f t="shared" si="0"/>
        <v>FInitial_1_Sottoimpianto con emissioni di processo, CL</v>
      </c>
      <c r="R32" s="422"/>
      <c r="S32" s="422"/>
      <c r="T32" s="422"/>
      <c r="U32" s="422"/>
      <c r="V32" s="452">
        <f t="shared" si="2"/>
        <v>1</v>
      </c>
      <c r="W32" s="422"/>
      <c r="X32" s="447" t="b">
        <f t="shared" si="1"/>
        <v>0</v>
      </c>
      <c r="Y32" s="422"/>
      <c r="Z32" s="447" t="b">
        <f t="shared" si="3"/>
        <v>0</v>
      </c>
      <c r="AA32" s="422"/>
    </row>
    <row r="33" spans="1:27" s="521" customFormat="1" ht="12.75" customHeight="1">
      <c r="A33" s="4"/>
      <c r="B33" s="5"/>
      <c r="C33" s="29">
        <v>16</v>
      </c>
      <c r="D33" s="950" t="str">
        <f t="shared" si="4"/>
        <v>Sottoimpianto con emissioni di processo, non CL</v>
      </c>
      <c r="E33" s="951"/>
      <c r="F33" s="952"/>
      <c r="G33" s="372"/>
      <c r="H33" s="372"/>
      <c r="I33" s="372"/>
      <c r="J33" s="372"/>
      <c r="K33" s="372"/>
      <c r="L33" s="372"/>
      <c r="M33" s="372"/>
      <c r="N33" s="372"/>
      <c r="O33" s="322"/>
      <c r="P33" s="9"/>
      <c r="Q33" s="450" t="str">
        <f t="shared" si="0"/>
        <v>FInitial_1_Sottoimpianto con emissioni di processo, non CL</v>
      </c>
      <c r="R33" s="422"/>
      <c r="S33" s="422"/>
      <c r="T33" s="422"/>
      <c r="U33" s="422"/>
      <c r="V33" s="452">
        <f t="shared" si="2"/>
        <v>1</v>
      </c>
      <c r="W33" s="422"/>
      <c r="X33" s="447" t="b">
        <f t="shared" si="1"/>
        <v>0</v>
      </c>
      <c r="Y33" s="422"/>
      <c r="Z33" s="447" t="b">
        <f t="shared" si="3"/>
        <v>0</v>
      </c>
      <c r="AA33" s="422"/>
    </row>
    <row r="34" spans="1:27" s="521" customFormat="1" ht="12.75" customHeight="1" thickBot="1">
      <c r="A34" s="4"/>
      <c r="B34" s="5"/>
      <c r="C34" s="412">
        <v>17</v>
      </c>
      <c r="D34" s="939" t="str">
        <f>EUconst_PrivateHouseholds</f>
        <v>Utenze private</v>
      </c>
      <c r="E34" s="940"/>
      <c r="F34" s="941"/>
      <c r="G34" s="414"/>
      <c r="H34" s="414"/>
      <c r="I34" s="414"/>
      <c r="J34" s="414"/>
      <c r="K34" s="414"/>
      <c r="L34" s="414"/>
      <c r="M34" s="414"/>
      <c r="N34" s="414"/>
      <c r="O34" s="322"/>
      <c r="P34" s="9"/>
      <c r="Q34" s="450" t="str">
        <f t="shared" si="0"/>
        <v>FInitial_1_Utenze private</v>
      </c>
      <c r="R34" s="422"/>
      <c r="S34" s="422"/>
      <c r="T34" s="422"/>
      <c r="U34" s="422"/>
      <c r="V34" s="453">
        <f t="shared" si="2"/>
        <v>1</v>
      </c>
      <c r="W34" s="422"/>
      <c r="X34" s="447" t="b">
        <f t="shared" si="1"/>
        <v>0</v>
      </c>
      <c r="Y34" s="422"/>
      <c r="Z34" s="447" t="b">
        <f t="shared" si="3"/>
        <v>0</v>
      </c>
      <c r="AA34" s="422"/>
    </row>
    <row r="35" spans="1:27" s="521" customFormat="1" ht="12.75" customHeight="1">
      <c r="A35" s="4"/>
      <c r="B35" s="5"/>
      <c r="C35" s="18"/>
      <c r="D35" s="942" t="str">
        <f>EUconst_TotFreeAlloc</f>
        <v>Assegnazione totale finale a titolo gratuito</v>
      </c>
      <c r="E35" s="943"/>
      <c r="F35" s="944"/>
      <c r="G35" s="212">
        <f aca="true" t="shared" si="5" ref="G35:N35">IF(COUNT(G17:G34)&gt;0,SUM(G17:G34),"")</f>
      </c>
      <c r="H35" s="212">
        <f t="shared" si="5"/>
      </c>
      <c r="I35" s="212">
        <f t="shared" si="5"/>
      </c>
      <c r="J35" s="212">
        <f t="shared" si="5"/>
      </c>
      <c r="K35" s="212">
        <f t="shared" si="5"/>
      </c>
      <c r="L35" s="212">
        <f t="shared" si="5"/>
      </c>
      <c r="M35" s="212">
        <f t="shared" si="5"/>
      </c>
      <c r="N35" s="212">
        <f t="shared" si="5"/>
      </c>
      <c r="O35" s="322"/>
      <c r="P35" s="9"/>
      <c r="Q35" s="440"/>
      <c r="R35" s="422"/>
      <c r="S35" s="422"/>
      <c r="T35" s="422"/>
      <c r="U35" s="422"/>
      <c r="V35" s="422"/>
      <c r="W35" s="422"/>
      <c r="X35" s="422"/>
      <c r="Y35" s="422"/>
      <c r="Z35" s="447" t="b">
        <f t="shared" si="3"/>
        <v>0</v>
      </c>
      <c r="AA35" s="422"/>
    </row>
    <row r="36" spans="1:27" s="521" customFormat="1" ht="12.75" customHeight="1">
      <c r="A36" s="4"/>
      <c r="B36" s="5"/>
      <c r="C36" s="7"/>
      <c r="D36" s="5"/>
      <c r="E36" s="5"/>
      <c r="F36" s="5"/>
      <c r="G36" s="5"/>
      <c r="H36" s="5"/>
      <c r="I36" s="5"/>
      <c r="J36" s="5"/>
      <c r="K36" s="5"/>
      <c r="L36" s="5"/>
      <c r="M36" s="9"/>
      <c r="N36" s="9"/>
      <c r="O36" s="314"/>
      <c r="P36" s="9"/>
      <c r="Q36" s="440"/>
      <c r="R36" s="422"/>
      <c r="S36" s="422"/>
      <c r="T36" s="422"/>
      <c r="U36" s="422"/>
      <c r="V36" s="422"/>
      <c r="W36" s="422"/>
      <c r="X36" s="422"/>
      <c r="Y36" s="422"/>
      <c r="Z36" s="422"/>
      <c r="AA36" s="422"/>
    </row>
    <row r="37" spans="1:27" s="521" customFormat="1" ht="12.75" customHeight="1">
      <c r="A37" s="4"/>
      <c r="B37" s="5"/>
      <c r="C37" s="5"/>
      <c r="D37" s="193" t="s">
        <v>249</v>
      </c>
      <c r="E37" s="728" t="str">
        <f>Translations!$B$1553</f>
        <v>Assegnazione definitiva più recente con fattori di adeguamento per eventuali cessazioni parziali</v>
      </c>
      <c r="F37" s="724"/>
      <c r="G37" s="724"/>
      <c r="H37" s="724"/>
      <c r="I37" s="724"/>
      <c r="J37" s="724"/>
      <c r="K37" s="724"/>
      <c r="L37" s="724"/>
      <c r="M37" s="724"/>
      <c r="N37" s="724"/>
      <c r="O37" s="316"/>
      <c r="P37" s="377"/>
      <c r="Q37" s="440"/>
      <c r="R37" s="422"/>
      <c r="S37" s="422"/>
      <c r="T37" s="422"/>
      <c r="U37" s="422"/>
      <c r="V37" s="422"/>
      <c r="W37" s="422"/>
      <c r="X37" s="422"/>
      <c r="Y37" s="422"/>
      <c r="Z37" s="422"/>
      <c r="AA37" s="422"/>
    </row>
    <row r="38" spans="1:27" s="521" customFormat="1" ht="12.75" customHeight="1">
      <c r="A38" s="4"/>
      <c r="B38" s="5"/>
      <c r="C38" s="5"/>
      <c r="D38" s="193"/>
      <c r="E38" s="787" t="str">
        <f>Translations!$B$1554</f>
        <v>Si prega di inserire qui il totale finale più recente di quote assegnate a titolo gratuito previa applicazione di fattori di adeguamento, ai sensi dell'articolo 23 delle CIM.</v>
      </c>
      <c r="F38" s="723"/>
      <c r="G38" s="723"/>
      <c r="H38" s="723"/>
      <c r="I38" s="723"/>
      <c r="J38" s="723"/>
      <c r="K38" s="723"/>
      <c r="L38" s="723"/>
      <c r="M38" s="723"/>
      <c r="N38" s="723"/>
      <c r="O38" s="316"/>
      <c r="P38" s="322"/>
      <c r="Q38" s="440"/>
      <c r="R38" s="422"/>
      <c r="S38" s="422"/>
      <c r="T38" s="422"/>
      <c r="U38" s="422"/>
      <c r="V38" s="422"/>
      <c r="W38" s="422"/>
      <c r="X38" s="422"/>
      <c r="Y38" s="422"/>
      <c r="Z38" s="422"/>
      <c r="AA38" s="422"/>
    </row>
    <row r="39" spans="1:27" s="521" customFormat="1" ht="4.5" customHeight="1">
      <c r="A39" s="4"/>
      <c r="B39" s="5"/>
      <c r="C39" s="5"/>
      <c r="D39" s="5"/>
      <c r="E39" s="5"/>
      <c r="F39" s="5"/>
      <c r="G39" s="5"/>
      <c r="H39" s="5"/>
      <c r="I39" s="5"/>
      <c r="J39" s="5"/>
      <c r="K39" s="5"/>
      <c r="L39" s="5"/>
      <c r="M39" s="9"/>
      <c r="N39" s="9"/>
      <c r="O39" s="322"/>
      <c r="P39" s="9"/>
      <c r="Q39" s="440"/>
      <c r="R39" s="440"/>
      <c r="S39" s="440"/>
      <c r="T39" s="440"/>
      <c r="U39" s="440"/>
      <c r="V39" s="440"/>
      <c r="W39" s="440"/>
      <c r="X39" s="440"/>
      <c r="Y39" s="422"/>
      <c r="Z39" s="422"/>
      <c r="AA39" s="422"/>
    </row>
    <row r="40" spans="1:27" s="521" customFormat="1" ht="12.75" customHeight="1">
      <c r="A40" s="4"/>
      <c r="B40" s="5"/>
      <c r="C40" s="20"/>
      <c r="D40" s="791" t="str">
        <f>Translations!$B$440</f>
        <v>Sottoimpianto</v>
      </c>
      <c r="E40" s="867"/>
      <c r="F40" s="963"/>
      <c r="G40" s="211">
        <v>2013</v>
      </c>
      <c r="H40" s="211">
        <v>2014</v>
      </c>
      <c r="I40" s="211">
        <v>2015</v>
      </c>
      <c r="J40" s="211">
        <v>2016</v>
      </c>
      <c r="K40" s="211">
        <v>2017</v>
      </c>
      <c r="L40" s="211">
        <v>2018</v>
      </c>
      <c r="M40" s="211">
        <v>2019</v>
      </c>
      <c r="N40" s="211">
        <v>2020</v>
      </c>
      <c r="O40" s="322"/>
      <c r="P40" s="320"/>
      <c r="Q40" s="440"/>
      <c r="R40" s="422"/>
      <c r="S40" s="422"/>
      <c r="T40" s="422"/>
      <c r="U40" s="119" t="s">
        <v>535</v>
      </c>
      <c r="V40" s="119" t="s">
        <v>532</v>
      </c>
      <c r="W40" s="10" t="s">
        <v>536</v>
      </c>
      <c r="X40" s="440" t="s">
        <v>568</v>
      </c>
      <c r="Y40" s="440" t="str">
        <f>EUconst_Unit</f>
        <v>Unità</v>
      </c>
      <c r="Z40" s="446" t="s">
        <v>299</v>
      </c>
      <c r="AA40" s="422"/>
    </row>
    <row r="41" spans="1:27" s="521" customFormat="1" ht="12.75" customHeight="1" thickBot="1">
      <c r="A41" s="4"/>
      <c r="B41" s="5"/>
      <c r="C41" s="210">
        <v>0</v>
      </c>
      <c r="D41" s="939" t="str">
        <f>Translations!$B$1447</f>
        <v>Fase prima dell'avvio</v>
      </c>
      <c r="E41" s="940"/>
      <c r="F41" s="941"/>
      <c r="G41" s="513"/>
      <c r="H41" s="513"/>
      <c r="I41" s="513"/>
      <c r="J41" s="513"/>
      <c r="K41" s="513"/>
      <c r="L41" s="513"/>
      <c r="M41" s="513"/>
      <c r="N41" s="513"/>
      <c r="O41" s="322"/>
      <c r="P41" s="320"/>
      <c r="Q41" s="440"/>
      <c r="R41" s="422"/>
      <c r="S41" s="422"/>
      <c r="T41" s="422"/>
      <c r="U41" s="450">
        <f>""</f>
      </c>
      <c r="V41" s="450"/>
      <c r="W41" s="450"/>
      <c r="X41" s="450"/>
      <c r="Y41" s="450"/>
      <c r="Z41" s="447" t="b">
        <f>Z35</f>
        <v>0</v>
      </c>
      <c r="AA41" s="422"/>
    </row>
    <row r="42" spans="1:27" s="521" customFormat="1" ht="12.75" customHeight="1">
      <c r="A42" s="4"/>
      <c r="B42" s="5"/>
      <c r="C42" s="29">
        <v>1</v>
      </c>
      <c r="D42" s="930">
        <f aca="true" t="shared" si="6" ref="D42:D51">IF(D18="","",D18)</f>
      </c>
      <c r="E42" s="931"/>
      <c r="F42" s="932"/>
      <c r="G42" s="347"/>
      <c r="H42" s="347"/>
      <c r="I42" s="347"/>
      <c r="J42" s="347"/>
      <c r="K42" s="347"/>
      <c r="L42" s="347"/>
      <c r="M42" s="347"/>
      <c r="N42" s="347"/>
      <c r="O42" s="322"/>
      <c r="P42" s="320"/>
      <c r="Q42" s="440"/>
      <c r="R42" s="422"/>
      <c r="S42" s="422"/>
      <c r="T42" s="422"/>
      <c r="U42" s="450">
        <f aca="true" t="shared" si="7" ref="U42:U51">IF(D42="","",INDEX(EUconst_BMlistCLstatus,MATCH(D42,EUconst_BMlistNames,0)))</f>
      </c>
      <c r="V42" s="450">
        <f aca="true" t="shared" si="8" ref="V42:V51">IF(D42="","",INDEX(EUconst_BMlistNumberOfBM,MATCH(D42,EUconst_BMlistNames,0)))</f>
      </c>
      <c r="W42" s="450">
        <f aca="true" t="shared" si="9" ref="W42:W51">IF(D42="","",INDEX(EUconst_BMlistBMvalues,MATCH(D42,EUconst_BMlistNames,0)))</f>
      </c>
      <c r="X42" s="450">
        <f aca="true" t="shared" si="10" ref="X42:X51">IF(D42="","",EUconst_EUA&amp;" / "&amp;Y42)</f>
      </c>
      <c r="Y42" s="450">
        <f aca="true" t="shared" si="11" ref="Y42:Y51">IF(D42="","",INDEX(EUconst_BMlistUnits,MATCH(D42,EUconst_BMlistNames,0)))</f>
      </c>
      <c r="Z42" s="447" t="b">
        <f aca="true" t="shared" si="12" ref="Z42:Z59">Z41</f>
        <v>0</v>
      </c>
      <c r="AA42" s="422"/>
    </row>
    <row r="43" spans="1:27" s="521" customFormat="1" ht="12.75" customHeight="1">
      <c r="A43" s="4"/>
      <c r="B43" s="5"/>
      <c r="C43" s="29">
        <v>2</v>
      </c>
      <c r="D43" s="933">
        <f t="shared" si="6"/>
      </c>
      <c r="E43" s="934"/>
      <c r="F43" s="935"/>
      <c r="G43" s="346"/>
      <c r="H43" s="346"/>
      <c r="I43" s="346"/>
      <c r="J43" s="346"/>
      <c r="K43" s="346"/>
      <c r="L43" s="346"/>
      <c r="M43" s="346"/>
      <c r="N43" s="346"/>
      <c r="O43" s="322"/>
      <c r="P43" s="320"/>
      <c r="Q43" s="440"/>
      <c r="R43" s="422"/>
      <c r="S43" s="422"/>
      <c r="T43" s="422"/>
      <c r="U43" s="450">
        <f t="shared" si="7"/>
      </c>
      <c r="V43" s="450">
        <f t="shared" si="8"/>
      </c>
      <c r="W43" s="450">
        <f t="shared" si="9"/>
      </c>
      <c r="X43" s="450">
        <f t="shared" si="10"/>
      </c>
      <c r="Y43" s="450">
        <f t="shared" si="11"/>
      </c>
      <c r="Z43" s="447" t="b">
        <f t="shared" si="12"/>
        <v>0</v>
      </c>
      <c r="AA43" s="422"/>
    </row>
    <row r="44" spans="1:27" s="521" customFormat="1" ht="12.75" customHeight="1">
      <c r="A44" s="4"/>
      <c r="B44" s="5"/>
      <c r="C44" s="29">
        <v>3</v>
      </c>
      <c r="D44" s="933">
        <f t="shared" si="6"/>
      </c>
      <c r="E44" s="934"/>
      <c r="F44" s="935"/>
      <c r="G44" s="346"/>
      <c r="H44" s="346"/>
      <c r="I44" s="346"/>
      <c r="J44" s="346"/>
      <c r="K44" s="346"/>
      <c r="L44" s="346"/>
      <c r="M44" s="346"/>
      <c r="N44" s="346"/>
      <c r="O44" s="322"/>
      <c r="P44" s="320"/>
      <c r="Q44" s="440"/>
      <c r="R44" s="422"/>
      <c r="S44" s="422"/>
      <c r="T44" s="422"/>
      <c r="U44" s="450">
        <f t="shared" si="7"/>
      </c>
      <c r="V44" s="450">
        <f t="shared" si="8"/>
      </c>
      <c r="W44" s="450">
        <f t="shared" si="9"/>
      </c>
      <c r="X44" s="450">
        <f t="shared" si="10"/>
      </c>
      <c r="Y44" s="450">
        <f t="shared" si="11"/>
      </c>
      <c r="Z44" s="447" t="b">
        <f t="shared" si="12"/>
        <v>0</v>
      </c>
      <c r="AA44" s="422"/>
    </row>
    <row r="45" spans="1:27" s="521" customFormat="1" ht="12.75" customHeight="1">
      <c r="A45" s="4"/>
      <c r="B45" s="5"/>
      <c r="C45" s="29">
        <v>4</v>
      </c>
      <c r="D45" s="933">
        <f t="shared" si="6"/>
      </c>
      <c r="E45" s="934"/>
      <c r="F45" s="935"/>
      <c r="G45" s="346"/>
      <c r="H45" s="346"/>
      <c r="I45" s="346"/>
      <c r="J45" s="346"/>
      <c r="K45" s="346"/>
      <c r="L45" s="346"/>
      <c r="M45" s="346"/>
      <c r="N45" s="346"/>
      <c r="O45" s="322"/>
      <c r="P45" s="320"/>
      <c r="Q45" s="440"/>
      <c r="R45" s="422"/>
      <c r="S45" s="422"/>
      <c r="T45" s="422"/>
      <c r="U45" s="450">
        <f t="shared" si="7"/>
      </c>
      <c r="V45" s="450">
        <f t="shared" si="8"/>
      </c>
      <c r="W45" s="450">
        <f t="shared" si="9"/>
      </c>
      <c r="X45" s="450">
        <f t="shared" si="10"/>
      </c>
      <c r="Y45" s="450">
        <f t="shared" si="11"/>
      </c>
      <c r="Z45" s="447" t="b">
        <f t="shared" si="12"/>
        <v>0</v>
      </c>
      <c r="AA45" s="422"/>
    </row>
    <row r="46" spans="1:27" s="521" customFormat="1" ht="12.75" customHeight="1">
      <c r="A46" s="4"/>
      <c r="B46" s="5"/>
      <c r="C46" s="29">
        <v>5</v>
      </c>
      <c r="D46" s="933">
        <f t="shared" si="6"/>
      </c>
      <c r="E46" s="934"/>
      <c r="F46" s="935"/>
      <c r="G46" s="346"/>
      <c r="H46" s="346"/>
      <c r="I46" s="346"/>
      <c r="J46" s="346"/>
      <c r="K46" s="346"/>
      <c r="L46" s="346"/>
      <c r="M46" s="346"/>
      <c r="N46" s="346"/>
      <c r="O46" s="322"/>
      <c r="P46" s="320"/>
      <c r="Q46" s="440"/>
      <c r="R46" s="422"/>
      <c r="S46" s="422"/>
      <c r="T46" s="422"/>
      <c r="U46" s="450">
        <f t="shared" si="7"/>
      </c>
      <c r="V46" s="450">
        <f t="shared" si="8"/>
      </c>
      <c r="W46" s="450">
        <f t="shared" si="9"/>
      </c>
      <c r="X46" s="450">
        <f t="shared" si="10"/>
      </c>
      <c r="Y46" s="450">
        <f t="shared" si="11"/>
      </c>
      <c r="Z46" s="447" t="b">
        <f t="shared" si="12"/>
        <v>0</v>
      </c>
      <c r="AA46" s="422"/>
    </row>
    <row r="47" spans="1:27" s="521" customFormat="1" ht="12.75" customHeight="1">
      <c r="A47" s="4"/>
      <c r="B47" s="5"/>
      <c r="C47" s="29">
        <v>6</v>
      </c>
      <c r="D47" s="933">
        <f t="shared" si="6"/>
      </c>
      <c r="E47" s="934"/>
      <c r="F47" s="935"/>
      <c r="G47" s="346"/>
      <c r="H47" s="346"/>
      <c r="I47" s="346"/>
      <c r="J47" s="346"/>
      <c r="K47" s="346"/>
      <c r="L47" s="346"/>
      <c r="M47" s="346"/>
      <c r="N47" s="346"/>
      <c r="O47" s="322"/>
      <c r="P47" s="9"/>
      <c r="Q47" s="440"/>
      <c r="R47" s="422"/>
      <c r="S47" s="422"/>
      <c r="T47" s="422"/>
      <c r="U47" s="450">
        <f t="shared" si="7"/>
      </c>
      <c r="V47" s="450">
        <f t="shared" si="8"/>
      </c>
      <c r="W47" s="450">
        <f t="shared" si="9"/>
      </c>
      <c r="X47" s="450">
        <f t="shared" si="10"/>
      </c>
      <c r="Y47" s="450">
        <f t="shared" si="11"/>
      </c>
      <c r="Z47" s="447" t="b">
        <f t="shared" si="12"/>
        <v>0</v>
      </c>
      <c r="AA47" s="422"/>
    </row>
    <row r="48" spans="1:27" s="521" customFormat="1" ht="12.75" customHeight="1">
      <c r="A48" s="4"/>
      <c r="B48" s="5"/>
      <c r="C48" s="29">
        <v>7</v>
      </c>
      <c r="D48" s="933">
        <f t="shared" si="6"/>
      </c>
      <c r="E48" s="934"/>
      <c r="F48" s="935"/>
      <c r="G48" s="346"/>
      <c r="H48" s="346"/>
      <c r="I48" s="346"/>
      <c r="J48" s="346"/>
      <c r="K48" s="346"/>
      <c r="L48" s="346"/>
      <c r="M48" s="346"/>
      <c r="N48" s="346"/>
      <c r="O48" s="322"/>
      <c r="P48" s="9"/>
      <c r="Q48" s="440"/>
      <c r="R48" s="422"/>
      <c r="S48" s="422"/>
      <c r="T48" s="422"/>
      <c r="U48" s="450">
        <f t="shared" si="7"/>
      </c>
      <c r="V48" s="450">
        <f t="shared" si="8"/>
      </c>
      <c r="W48" s="450">
        <f t="shared" si="9"/>
      </c>
      <c r="X48" s="450">
        <f t="shared" si="10"/>
      </c>
      <c r="Y48" s="450">
        <f t="shared" si="11"/>
      </c>
      <c r="Z48" s="447" t="b">
        <f t="shared" si="12"/>
        <v>0</v>
      </c>
      <c r="AA48" s="422"/>
    </row>
    <row r="49" spans="1:27" s="521" customFormat="1" ht="12.75" customHeight="1">
      <c r="A49" s="4"/>
      <c r="B49" s="5"/>
      <c r="C49" s="29">
        <v>8</v>
      </c>
      <c r="D49" s="933">
        <f t="shared" si="6"/>
      </c>
      <c r="E49" s="934"/>
      <c r="F49" s="935"/>
      <c r="G49" s="346"/>
      <c r="H49" s="346"/>
      <c r="I49" s="346"/>
      <c r="J49" s="346"/>
      <c r="K49" s="346"/>
      <c r="L49" s="346"/>
      <c r="M49" s="346"/>
      <c r="N49" s="346"/>
      <c r="O49" s="322"/>
      <c r="P49" s="9"/>
      <c r="Q49" s="440"/>
      <c r="R49" s="422"/>
      <c r="S49" s="422"/>
      <c r="T49" s="422"/>
      <c r="U49" s="450">
        <f t="shared" si="7"/>
      </c>
      <c r="V49" s="450">
        <f t="shared" si="8"/>
      </c>
      <c r="W49" s="450">
        <f t="shared" si="9"/>
      </c>
      <c r="X49" s="450">
        <f t="shared" si="10"/>
      </c>
      <c r="Y49" s="450">
        <f t="shared" si="11"/>
      </c>
      <c r="Z49" s="447" t="b">
        <f t="shared" si="12"/>
        <v>0</v>
      </c>
      <c r="AA49" s="422"/>
    </row>
    <row r="50" spans="1:27" s="521" customFormat="1" ht="12.75" customHeight="1">
      <c r="A50" s="4"/>
      <c r="B50" s="5"/>
      <c r="C50" s="29">
        <v>9</v>
      </c>
      <c r="D50" s="933">
        <f t="shared" si="6"/>
      </c>
      <c r="E50" s="934"/>
      <c r="F50" s="935"/>
      <c r="G50" s="346"/>
      <c r="H50" s="346"/>
      <c r="I50" s="346"/>
      <c r="J50" s="346"/>
      <c r="K50" s="346"/>
      <c r="L50" s="346"/>
      <c r="M50" s="346"/>
      <c r="N50" s="346"/>
      <c r="O50" s="322"/>
      <c r="P50" s="9"/>
      <c r="Q50" s="440"/>
      <c r="R50" s="422"/>
      <c r="S50" s="422"/>
      <c r="T50" s="422"/>
      <c r="U50" s="450">
        <f t="shared" si="7"/>
      </c>
      <c r="V50" s="450">
        <f t="shared" si="8"/>
      </c>
      <c r="W50" s="450">
        <f t="shared" si="9"/>
      </c>
      <c r="X50" s="450">
        <f t="shared" si="10"/>
      </c>
      <c r="Y50" s="450">
        <f t="shared" si="11"/>
      </c>
      <c r="Z50" s="447" t="b">
        <f t="shared" si="12"/>
        <v>0</v>
      </c>
      <c r="AA50" s="422"/>
    </row>
    <row r="51" spans="1:27" s="521" customFormat="1" ht="12.75" customHeight="1">
      <c r="A51" s="4"/>
      <c r="B51" s="5"/>
      <c r="C51" s="25">
        <v>10</v>
      </c>
      <c r="D51" s="953">
        <f t="shared" si="6"/>
      </c>
      <c r="E51" s="954"/>
      <c r="F51" s="955"/>
      <c r="G51" s="187"/>
      <c r="H51" s="187"/>
      <c r="I51" s="187"/>
      <c r="J51" s="187"/>
      <c r="K51" s="187"/>
      <c r="L51" s="187"/>
      <c r="M51" s="187"/>
      <c r="N51" s="187"/>
      <c r="O51" s="322"/>
      <c r="P51" s="9"/>
      <c r="Q51" s="440"/>
      <c r="R51" s="422"/>
      <c r="S51" s="422"/>
      <c r="T51" s="422"/>
      <c r="U51" s="450">
        <f t="shared" si="7"/>
      </c>
      <c r="V51" s="450">
        <f t="shared" si="8"/>
      </c>
      <c r="W51" s="450">
        <f t="shared" si="9"/>
      </c>
      <c r="X51" s="450">
        <f t="shared" si="10"/>
      </c>
      <c r="Y51" s="450">
        <f t="shared" si="11"/>
      </c>
      <c r="Z51" s="447" t="b">
        <f t="shared" si="12"/>
        <v>0</v>
      </c>
      <c r="AA51" s="422"/>
    </row>
    <row r="52" spans="1:27" s="521" customFormat="1" ht="12.75" customHeight="1">
      <c r="A52" s="4"/>
      <c r="B52" s="5"/>
      <c r="C52" s="29">
        <v>11</v>
      </c>
      <c r="D52" s="936" t="str">
        <f aca="true" t="shared" si="13" ref="D52:D57">INDEX(EUconst_FallBackListNames,C52-10)</f>
        <v>Sottoimpianto oggetto di un parametro di riferimento relativo al calore, CL</v>
      </c>
      <c r="E52" s="937"/>
      <c r="F52" s="938"/>
      <c r="G52" s="347"/>
      <c r="H52" s="347"/>
      <c r="I52" s="347"/>
      <c r="J52" s="347"/>
      <c r="K52" s="347"/>
      <c r="L52" s="347"/>
      <c r="M52" s="347"/>
      <c r="N52" s="347"/>
      <c r="O52" s="322"/>
      <c r="P52" s="9"/>
      <c r="Q52" s="440"/>
      <c r="R52" s="422"/>
      <c r="S52" s="422"/>
      <c r="T52" s="422"/>
      <c r="U52" s="450" t="b">
        <v>1</v>
      </c>
      <c r="V52" s="450">
        <f>EUwideConstants!$C$304</f>
        <v>91</v>
      </c>
      <c r="W52" s="450">
        <f>EUwideConstants!$H$304</f>
        <v>62.3</v>
      </c>
      <c r="X52" s="450" t="str">
        <f aca="true" t="shared" si="14" ref="X52:X57">EUconst_EUA&amp;" / "&amp;Y52</f>
        <v>EUA / TJ</v>
      </c>
      <c r="Y52" s="450" t="str">
        <f>EUconst_TJ</f>
        <v>TJ</v>
      </c>
      <c r="Z52" s="447" t="b">
        <f t="shared" si="12"/>
        <v>0</v>
      </c>
      <c r="AA52" s="422"/>
    </row>
    <row r="53" spans="1:27" s="521" customFormat="1" ht="12.75" customHeight="1">
      <c r="A53" s="4"/>
      <c r="B53" s="5"/>
      <c r="C53" s="29">
        <v>12</v>
      </c>
      <c r="D53" s="947" t="str">
        <f t="shared" si="13"/>
        <v>Sottoimpianto oggetto di un parametro di riferimento relativo al calore, non CL</v>
      </c>
      <c r="E53" s="948"/>
      <c r="F53" s="949"/>
      <c r="G53" s="346"/>
      <c r="H53" s="346"/>
      <c r="I53" s="346"/>
      <c r="J53" s="346"/>
      <c r="K53" s="346"/>
      <c r="L53" s="346"/>
      <c r="M53" s="346"/>
      <c r="N53" s="346"/>
      <c r="O53" s="322"/>
      <c r="P53" s="9"/>
      <c r="Q53" s="440"/>
      <c r="R53" s="422"/>
      <c r="S53" s="422"/>
      <c r="T53" s="422"/>
      <c r="U53" s="450" t="b">
        <v>0</v>
      </c>
      <c r="V53" s="450">
        <f>EUwideConstants!$C$305</f>
        <v>92</v>
      </c>
      <c r="W53" s="450">
        <f>EUwideConstants!$H$305</f>
        <v>62.3</v>
      </c>
      <c r="X53" s="450" t="str">
        <f t="shared" si="14"/>
        <v>EUA / TJ</v>
      </c>
      <c r="Y53" s="450" t="str">
        <f>EUconst_TJ</f>
        <v>TJ</v>
      </c>
      <c r="Z53" s="447" t="b">
        <f t="shared" si="12"/>
        <v>0</v>
      </c>
      <c r="AA53" s="422"/>
    </row>
    <row r="54" spans="1:27" s="521" customFormat="1" ht="12.75" customHeight="1">
      <c r="A54" s="4"/>
      <c r="B54" s="5"/>
      <c r="C54" s="29">
        <v>13</v>
      </c>
      <c r="D54" s="947" t="str">
        <f t="shared" si="13"/>
        <v>Sottoimpianto oggetto di un parametro di riferimento relativo al combustibile, CL</v>
      </c>
      <c r="E54" s="948"/>
      <c r="F54" s="949"/>
      <c r="G54" s="346"/>
      <c r="H54" s="346"/>
      <c r="I54" s="346"/>
      <c r="J54" s="346"/>
      <c r="K54" s="346"/>
      <c r="L54" s="346"/>
      <c r="M54" s="346"/>
      <c r="N54" s="346"/>
      <c r="O54" s="322"/>
      <c r="P54" s="9"/>
      <c r="Q54" s="440"/>
      <c r="R54" s="422"/>
      <c r="S54" s="422"/>
      <c r="T54" s="422"/>
      <c r="U54" s="450" t="b">
        <v>1</v>
      </c>
      <c r="V54" s="450">
        <f>EUwideConstants!$C$306</f>
        <v>93</v>
      </c>
      <c r="W54" s="450">
        <f>EUwideConstants!$H$306</f>
        <v>56.1</v>
      </c>
      <c r="X54" s="450" t="str">
        <f t="shared" si="14"/>
        <v>EUA / TJ</v>
      </c>
      <c r="Y54" s="450" t="str">
        <f>EUconst_TJ</f>
        <v>TJ</v>
      </c>
      <c r="Z54" s="447" t="b">
        <f t="shared" si="12"/>
        <v>0</v>
      </c>
      <c r="AA54" s="422"/>
    </row>
    <row r="55" spans="1:27" s="521" customFormat="1" ht="12.75" customHeight="1">
      <c r="A55" s="4"/>
      <c r="B55" s="5"/>
      <c r="C55" s="29">
        <v>14</v>
      </c>
      <c r="D55" s="947" t="str">
        <f t="shared" si="13"/>
        <v>Sottoimpianto oggetto di un parametro di riferimento relativo al combustibile, non CL</v>
      </c>
      <c r="E55" s="948"/>
      <c r="F55" s="949"/>
      <c r="G55" s="346"/>
      <c r="H55" s="346"/>
      <c r="I55" s="346"/>
      <c r="J55" s="346"/>
      <c r="K55" s="346"/>
      <c r="L55" s="346"/>
      <c r="M55" s="346"/>
      <c r="N55" s="346"/>
      <c r="O55" s="322"/>
      <c r="P55" s="9"/>
      <c r="Q55" s="440"/>
      <c r="R55" s="422"/>
      <c r="S55" s="422"/>
      <c r="T55" s="422"/>
      <c r="U55" s="450" t="b">
        <v>0</v>
      </c>
      <c r="V55" s="450">
        <f>EUwideConstants!$C$307</f>
        <v>94</v>
      </c>
      <c r="W55" s="450">
        <f>EUwideConstants!$H$307</f>
        <v>56.1</v>
      </c>
      <c r="X55" s="450" t="str">
        <f t="shared" si="14"/>
        <v>EUA / TJ</v>
      </c>
      <c r="Y55" s="450" t="str">
        <f>EUconst_TJ</f>
        <v>TJ</v>
      </c>
      <c r="Z55" s="447" t="b">
        <f t="shared" si="12"/>
        <v>0</v>
      </c>
      <c r="AA55" s="422"/>
    </row>
    <row r="56" spans="1:27" s="521" customFormat="1" ht="12.75" customHeight="1">
      <c r="A56" s="4"/>
      <c r="B56" s="5"/>
      <c r="C56" s="29">
        <v>15</v>
      </c>
      <c r="D56" s="947" t="str">
        <f t="shared" si="13"/>
        <v>Sottoimpianto con emissioni di processo, CL</v>
      </c>
      <c r="E56" s="948"/>
      <c r="F56" s="949"/>
      <c r="G56" s="346"/>
      <c r="H56" s="346"/>
      <c r="I56" s="346"/>
      <c r="J56" s="346"/>
      <c r="K56" s="346"/>
      <c r="L56" s="346"/>
      <c r="M56" s="346"/>
      <c r="N56" s="346"/>
      <c r="O56" s="322"/>
      <c r="P56" s="9"/>
      <c r="Q56" s="440"/>
      <c r="R56" s="422"/>
      <c r="S56" s="422"/>
      <c r="T56" s="422"/>
      <c r="U56" s="450" t="b">
        <v>1</v>
      </c>
      <c r="V56" s="450">
        <f>EUwideConstants!$C$308</f>
        <v>95</v>
      </c>
      <c r="W56" s="450">
        <f>EUwideConstants!$H$308</f>
        <v>0.97</v>
      </c>
      <c r="X56" s="450" t="str">
        <f t="shared" si="14"/>
        <v>EUA / t CO2e</v>
      </c>
      <c r="Y56" s="450" t="str">
        <f>EUconst_tCO2e</f>
        <v>t CO2e</v>
      </c>
      <c r="Z56" s="447" t="b">
        <f t="shared" si="12"/>
        <v>0</v>
      </c>
      <c r="AA56" s="422"/>
    </row>
    <row r="57" spans="1:27" s="521" customFormat="1" ht="12.75" customHeight="1">
      <c r="A57" s="4"/>
      <c r="B57" s="5"/>
      <c r="C57" s="29">
        <v>16</v>
      </c>
      <c r="D57" s="950" t="str">
        <f t="shared" si="13"/>
        <v>Sottoimpianto con emissioni di processo, non CL</v>
      </c>
      <c r="E57" s="951"/>
      <c r="F57" s="952"/>
      <c r="G57" s="372"/>
      <c r="H57" s="372"/>
      <c r="I57" s="372"/>
      <c r="J57" s="372"/>
      <c r="K57" s="372"/>
      <c r="L57" s="372"/>
      <c r="M57" s="372"/>
      <c r="N57" s="372"/>
      <c r="O57" s="322"/>
      <c r="P57" s="9"/>
      <c r="Q57" s="440"/>
      <c r="R57" s="422"/>
      <c r="S57" s="422"/>
      <c r="T57" s="422"/>
      <c r="U57" s="450" t="b">
        <v>0</v>
      </c>
      <c r="V57" s="450">
        <f>EUwideConstants!$C$309</f>
        <v>96</v>
      </c>
      <c r="W57" s="450">
        <f>EUwideConstants!$H$309</f>
        <v>0.97</v>
      </c>
      <c r="X57" s="450" t="str">
        <f t="shared" si="14"/>
        <v>EUA / t CO2e</v>
      </c>
      <c r="Y57" s="450" t="str">
        <f>EUconst_tCO2e</f>
        <v>t CO2e</v>
      </c>
      <c r="Z57" s="447" t="b">
        <f t="shared" si="12"/>
        <v>0</v>
      </c>
      <c r="AA57" s="422"/>
    </row>
    <row r="58" spans="1:27" s="521" customFormat="1" ht="12.75" customHeight="1" thickBot="1">
      <c r="A58" s="4"/>
      <c r="B58" s="5"/>
      <c r="C58" s="412">
        <v>17</v>
      </c>
      <c r="D58" s="939" t="str">
        <f>EUconst_PrivateHouseholds</f>
        <v>Utenze private</v>
      </c>
      <c r="E58" s="940"/>
      <c r="F58" s="941"/>
      <c r="G58" s="414"/>
      <c r="H58" s="414"/>
      <c r="I58" s="414"/>
      <c r="J58" s="414"/>
      <c r="K58" s="414"/>
      <c r="L58" s="414"/>
      <c r="M58" s="414"/>
      <c r="N58" s="414"/>
      <c r="O58" s="322"/>
      <c r="P58" s="9"/>
      <c r="Q58" s="440"/>
      <c r="R58" s="422"/>
      <c r="S58" s="422"/>
      <c r="T58" s="422"/>
      <c r="U58" s="450">
        <f>""</f>
      </c>
      <c r="V58" s="450"/>
      <c r="W58" s="450"/>
      <c r="X58" s="450"/>
      <c r="Y58" s="450"/>
      <c r="Z58" s="447" t="b">
        <f t="shared" si="12"/>
        <v>0</v>
      </c>
      <c r="AA58" s="422"/>
    </row>
    <row r="59" spans="1:27" s="521" customFormat="1" ht="12.75" customHeight="1">
      <c r="A59" s="4"/>
      <c r="B59" s="5"/>
      <c r="C59" s="18"/>
      <c r="D59" s="942" t="str">
        <f>EUconst_TotFreeAlloc</f>
        <v>Assegnazione totale finale a titolo gratuito</v>
      </c>
      <c r="E59" s="943"/>
      <c r="F59" s="944"/>
      <c r="G59" s="212">
        <f aca="true" t="shared" si="15" ref="G59:N59">IF(COUNT(G41:G58)&gt;0,SUM(G41:G58),"")</f>
      </c>
      <c r="H59" s="212">
        <f t="shared" si="15"/>
      </c>
      <c r="I59" s="212">
        <f t="shared" si="15"/>
      </c>
      <c r="J59" s="212">
        <f t="shared" si="15"/>
      </c>
      <c r="K59" s="212">
        <f t="shared" si="15"/>
      </c>
      <c r="L59" s="212">
        <f t="shared" si="15"/>
      </c>
      <c r="M59" s="212">
        <f t="shared" si="15"/>
      </c>
      <c r="N59" s="212">
        <f t="shared" si="15"/>
      </c>
      <c r="O59" s="322"/>
      <c r="P59" s="9"/>
      <c r="Q59" s="440"/>
      <c r="R59" s="440"/>
      <c r="S59" s="440"/>
      <c r="T59" s="440"/>
      <c r="U59" s="440"/>
      <c r="V59" s="440"/>
      <c r="W59" s="440"/>
      <c r="X59" s="440"/>
      <c r="Y59" s="422"/>
      <c r="Z59" s="447" t="b">
        <f t="shared" si="12"/>
        <v>0</v>
      </c>
      <c r="AA59" s="422"/>
    </row>
    <row r="60" spans="1:27" s="521" customFormat="1" ht="12.75" customHeight="1">
      <c r="A60" s="4"/>
      <c r="B60" s="5"/>
      <c r="C60" s="5"/>
      <c r="D60" s="5"/>
      <c r="E60" s="5"/>
      <c r="F60" s="5"/>
      <c r="G60" s="5"/>
      <c r="H60" s="5"/>
      <c r="I60" s="5"/>
      <c r="J60" s="5"/>
      <c r="K60" s="5"/>
      <c r="L60" s="5"/>
      <c r="M60" s="9"/>
      <c r="N60" s="9"/>
      <c r="O60" s="322"/>
      <c r="P60" s="9"/>
      <c r="Q60" s="440"/>
      <c r="R60" s="440"/>
      <c r="S60" s="440"/>
      <c r="T60" s="440"/>
      <c r="U60" s="440"/>
      <c r="V60" s="440"/>
      <c r="W60" s="440"/>
      <c r="X60" s="440"/>
      <c r="Y60" s="440"/>
      <c r="Z60" s="440"/>
      <c r="AA60" s="422"/>
    </row>
    <row r="61" spans="1:27" s="521" customFormat="1" ht="12.75" customHeight="1">
      <c r="A61" s="4"/>
      <c r="B61" s="5"/>
      <c r="C61" s="5"/>
      <c r="D61" s="193" t="s">
        <v>458</v>
      </c>
      <c r="E61" s="728" t="str">
        <f>Translations!$B$1555</f>
        <v>Capacità iniziale installata e livello di attività annuale iniziale</v>
      </c>
      <c r="F61" s="724"/>
      <c r="G61" s="724"/>
      <c r="H61" s="724"/>
      <c r="I61" s="724"/>
      <c r="J61" s="724"/>
      <c r="K61" s="724"/>
      <c r="L61" s="724"/>
      <c r="M61" s="724"/>
      <c r="N61" s="724"/>
      <c r="O61" s="316"/>
      <c r="P61" s="377"/>
      <c r="Q61" s="440"/>
      <c r="R61" s="422"/>
      <c r="S61" s="422"/>
      <c r="T61" s="422"/>
      <c r="U61" s="422"/>
      <c r="V61" s="422"/>
      <c r="W61" s="422"/>
      <c r="X61" s="422"/>
      <c r="Y61" s="422"/>
      <c r="Z61" s="422"/>
      <c r="AA61" s="422"/>
    </row>
    <row r="62" spans="1:27" s="521" customFormat="1" ht="12.75" customHeight="1">
      <c r="A62" s="4"/>
      <c r="B62" s="5"/>
      <c r="C62" s="5"/>
      <c r="D62" s="193"/>
      <c r="E62" s="787" t="str">
        <f>Translations!$B$1556</f>
        <v>Indicare qui i valori relativi alla capacità e al livello di attività che sono stati utilizzati per la determinazione dell'assegnazione finale più recente.</v>
      </c>
      <c r="F62" s="723"/>
      <c r="G62" s="723"/>
      <c r="H62" s="723"/>
      <c r="I62" s="723"/>
      <c r="J62" s="723"/>
      <c r="K62" s="723"/>
      <c r="L62" s="723"/>
      <c r="M62" s="723"/>
      <c r="N62" s="723"/>
      <c r="O62" s="316"/>
      <c r="P62" s="322"/>
      <c r="Q62" s="440"/>
      <c r="R62" s="422"/>
      <c r="S62" s="422"/>
      <c r="T62" s="422"/>
      <c r="U62" s="422"/>
      <c r="V62" s="422"/>
      <c r="W62" s="422"/>
      <c r="X62" s="422"/>
      <c r="Y62" s="422"/>
      <c r="Z62" s="422"/>
      <c r="AA62" s="422"/>
    </row>
    <row r="63" spans="1:27" s="521" customFormat="1" ht="25.5" customHeight="1">
      <c r="A63" s="4"/>
      <c r="B63" s="5"/>
      <c r="C63" s="5"/>
      <c r="D63" s="193"/>
      <c r="E63" s="787" t="str">
        <f>Translations!$B$1557</f>
        <v>Questi valori devono rispecchiare l’attuale capacità iniziale installata e il livello di attività annuale iniziale e verranno utilizzati per eventuali modifiche future delle assegnazioni, conformemente agli articoli da 19 a 23 delle CIM.</v>
      </c>
      <c r="F63" s="723"/>
      <c r="G63" s="723"/>
      <c r="H63" s="723"/>
      <c r="I63" s="723"/>
      <c r="J63" s="723"/>
      <c r="K63" s="723"/>
      <c r="L63" s="723"/>
      <c r="M63" s="723"/>
      <c r="N63" s="723"/>
      <c r="O63" s="316"/>
      <c r="P63" s="322"/>
      <c r="Q63" s="440"/>
      <c r="R63" s="422"/>
      <c r="S63" s="422"/>
      <c r="T63" s="422"/>
      <c r="U63" s="422"/>
      <c r="V63" s="422"/>
      <c r="W63" s="422"/>
      <c r="X63" s="422"/>
      <c r="Y63" s="422"/>
      <c r="Z63" s="422"/>
      <c r="AA63" s="422"/>
    </row>
    <row r="64" spans="1:27" s="525" customFormat="1" ht="38.25" customHeight="1" thickBot="1">
      <c r="A64" s="395"/>
      <c r="B64" s="371"/>
      <c r="C64" s="396"/>
      <c r="D64" s="957" t="str">
        <f>Translations!$B$440</f>
        <v>Sottoimpianto</v>
      </c>
      <c r="E64" s="958"/>
      <c r="F64" s="958"/>
      <c r="G64" s="959"/>
      <c r="H64" s="66" t="str">
        <f>EUconst_Unit</f>
        <v>Unità</v>
      </c>
      <c r="I64" s="66" t="str">
        <f>Translations!$B$1030</f>
        <v>Capacità installata iniziale</v>
      </c>
      <c r="J64" s="397" t="str">
        <f>Translations!$B$1187</f>
        <v>Livello di attività annuale iniziale </v>
      </c>
      <c r="K64" s="389" t="str">
        <f>Translations!$B$1103</f>
        <v>messaggio di errore</v>
      </c>
      <c r="L64" s="322"/>
      <c r="M64" s="322"/>
      <c r="N64" s="322"/>
      <c r="O64" s="398"/>
      <c r="P64" s="399"/>
      <c r="Q64" s="454"/>
      <c r="R64" s="454"/>
      <c r="S64" s="454"/>
      <c r="T64" s="454"/>
      <c r="U64" s="454"/>
      <c r="V64" s="448" t="s">
        <v>545</v>
      </c>
      <c r="W64" s="454"/>
      <c r="X64" s="454"/>
      <c r="Y64" s="454"/>
      <c r="Z64" s="454"/>
      <c r="AA64" s="455"/>
    </row>
    <row r="65" spans="1:27" s="521" customFormat="1" ht="12.75" customHeight="1">
      <c r="A65" s="4"/>
      <c r="B65" s="5"/>
      <c r="C65" s="29">
        <v>1</v>
      </c>
      <c r="D65" s="960">
        <f aca="true" t="shared" si="16" ref="D65:D74">IF(D18="","",D18)</f>
      </c>
      <c r="E65" s="961"/>
      <c r="F65" s="961"/>
      <c r="G65" s="962"/>
      <c r="H65" s="65">
        <f>IF(D65&lt;&gt;"",INDEX(EUconst_BMlistUnits,MATCH($D65,EUconst_BMlistNames,0))&amp;" / "&amp;EUconst_Year,"")</f>
      </c>
      <c r="I65" s="529"/>
      <c r="J65" s="529"/>
      <c r="K65" s="400">
        <f aca="true" t="shared" si="17" ref="K65:K74">IF(D65="","",IF(COUNT(I65:J65)&lt;2,EUconst_Incomplete,""))</f>
      </c>
      <c r="L65" s="322"/>
      <c r="M65" s="322"/>
      <c r="N65" s="322"/>
      <c r="O65" s="322"/>
      <c r="P65" s="320"/>
      <c r="Q65" s="450" t="str">
        <f aca="true" t="shared" si="18" ref="Q65:Q80">EUconst_CNTR_CAPINI&amp;$V65&amp;"_"&amp;$D65</f>
        <v>CAPINI_1_</v>
      </c>
      <c r="R65" s="450" t="str">
        <f aca="true" t="shared" si="19" ref="R65:R80">EUconst_CNTR_HAL&amp;$V65&amp;"_"&amp;$D65</f>
        <v>HAL_1_</v>
      </c>
      <c r="S65" s="450" t="str">
        <f aca="true" t="shared" si="20" ref="S65:S74">EUconst_CNTR_HAL&amp;$V65&amp;"_"&amp;$C65</f>
        <v>HAL_1_1</v>
      </c>
      <c r="T65" s="440"/>
      <c r="U65" s="440"/>
      <c r="V65" s="451">
        <f>V34</f>
        <v>1</v>
      </c>
      <c r="W65" s="440"/>
      <c r="X65" s="440"/>
      <c r="Y65" s="450">
        <f>M11</f>
      </c>
      <c r="Z65" s="447" t="b">
        <f aca="true" t="shared" si="21" ref="Z65:Z74">AND(Y65&lt;&gt;"",D18="")</f>
        <v>0</v>
      </c>
      <c r="AA65" s="422"/>
    </row>
    <row r="66" spans="1:27" s="521" customFormat="1" ht="12.75" customHeight="1">
      <c r="A66" s="4"/>
      <c r="B66" s="5"/>
      <c r="C66" s="29">
        <v>2</v>
      </c>
      <c r="D66" s="933">
        <f t="shared" si="16"/>
      </c>
      <c r="E66" s="934"/>
      <c r="F66" s="934"/>
      <c r="G66" s="935"/>
      <c r="H66" s="64">
        <f aca="true" t="shared" si="22" ref="H66:H74">IF(D66&lt;&gt;"",INDEX(EUconst_BMlistUnits,MATCH($D66,EUconst_BMlistNames,0))&amp;" / "&amp;EUconst_Year,"")</f>
      </c>
      <c r="I66" s="530"/>
      <c r="J66" s="530"/>
      <c r="K66" s="401">
        <f t="shared" si="17"/>
      </c>
      <c r="L66" s="322"/>
      <c r="M66" s="322"/>
      <c r="N66" s="322"/>
      <c r="O66" s="322"/>
      <c r="P66" s="320"/>
      <c r="Q66" s="450" t="str">
        <f t="shared" si="18"/>
        <v>CAPINI_1_</v>
      </c>
      <c r="R66" s="450" t="str">
        <f t="shared" si="19"/>
        <v>HAL_1_</v>
      </c>
      <c r="S66" s="450" t="str">
        <f t="shared" si="20"/>
        <v>HAL_1_2</v>
      </c>
      <c r="T66" s="440"/>
      <c r="U66" s="440"/>
      <c r="V66" s="452">
        <f aca="true" t="shared" si="23" ref="V66:V80">V65</f>
        <v>1</v>
      </c>
      <c r="W66" s="440"/>
      <c r="X66" s="440"/>
      <c r="Y66" s="450">
        <f>Y65</f>
      </c>
      <c r="Z66" s="447" t="b">
        <f t="shared" si="21"/>
        <v>0</v>
      </c>
      <c r="AA66" s="422"/>
    </row>
    <row r="67" spans="1:27" s="521" customFormat="1" ht="12.75" customHeight="1">
      <c r="A67" s="4"/>
      <c r="B67" s="5"/>
      <c r="C67" s="29">
        <v>3</v>
      </c>
      <c r="D67" s="933">
        <f t="shared" si="16"/>
      </c>
      <c r="E67" s="934"/>
      <c r="F67" s="934"/>
      <c r="G67" s="935"/>
      <c r="H67" s="64">
        <f t="shared" si="22"/>
      </c>
      <c r="I67" s="530"/>
      <c r="J67" s="530"/>
      <c r="K67" s="401">
        <f t="shared" si="17"/>
      </c>
      <c r="L67" s="322"/>
      <c r="M67" s="322"/>
      <c r="N67" s="322"/>
      <c r="O67" s="322"/>
      <c r="P67" s="320"/>
      <c r="Q67" s="450" t="str">
        <f t="shared" si="18"/>
        <v>CAPINI_1_</v>
      </c>
      <c r="R67" s="450" t="str">
        <f t="shared" si="19"/>
        <v>HAL_1_</v>
      </c>
      <c r="S67" s="450" t="str">
        <f t="shared" si="20"/>
        <v>HAL_1_3</v>
      </c>
      <c r="T67" s="440"/>
      <c r="U67" s="440"/>
      <c r="V67" s="452">
        <f t="shared" si="23"/>
        <v>1</v>
      </c>
      <c r="W67" s="440"/>
      <c r="X67" s="440"/>
      <c r="Y67" s="450">
        <f aca="true" t="shared" si="24" ref="Y67:Y80">Y66</f>
      </c>
      <c r="Z67" s="447" t="b">
        <f t="shared" si="21"/>
        <v>0</v>
      </c>
      <c r="AA67" s="422"/>
    </row>
    <row r="68" spans="1:27" s="521" customFormat="1" ht="12.75" customHeight="1">
      <c r="A68" s="4"/>
      <c r="B68" s="5"/>
      <c r="C68" s="29">
        <v>4</v>
      </c>
      <c r="D68" s="933">
        <f t="shared" si="16"/>
      </c>
      <c r="E68" s="934"/>
      <c r="F68" s="934"/>
      <c r="G68" s="935"/>
      <c r="H68" s="64">
        <f t="shared" si="22"/>
      </c>
      <c r="I68" s="530"/>
      <c r="J68" s="530"/>
      <c r="K68" s="401">
        <f t="shared" si="17"/>
      </c>
      <c r="L68" s="322"/>
      <c r="M68" s="322"/>
      <c r="N68" s="322"/>
      <c r="O68" s="322"/>
      <c r="P68" s="320"/>
      <c r="Q68" s="450" t="str">
        <f t="shared" si="18"/>
        <v>CAPINI_1_</v>
      </c>
      <c r="R68" s="450" t="str">
        <f t="shared" si="19"/>
        <v>HAL_1_</v>
      </c>
      <c r="S68" s="450" t="str">
        <f t="shared" si="20"/>
        <v>HAL_1_4</v>
      </c>
      <c r="T68" s="440"/>
      <c r="U68" s="440"/>
      <c r="V68" s="452">
        <f t="shared" si="23"/>
        <v>1</v>
      </c>
      <c r="W68" s="440"/>
      <c r="X68" s="440"/>
      <c r="Y68" s="450">
        <f t="shared" si="24"/>
      </c>
      <c r="Z68" s="447" t="b">
        <f t="shared" si="21"/>
        <v>0</v>
      </c>
      <c r="AA68" s="422"/>
    </row>
    <row r="69" spans="1:27" s="521" customFormat="1" ht="12.75" customHeight="1">
      <c r="A69" s="4"/>
      <c r="B69" s="5"/>
      <c r="C69" s="29">
        <v>5</v>
      </c>
      <c r="D69" s="933">
        <f t="shared" si="16"/>
      </c>
      <c r="E69" s="934"/>
      <c r="F69" s="934"/>
      <c r="G69" s="935"/>
      <c r="H69" s="64">
        <f t="shared" si="22"/>
      </c>
      <c r="I69" s="530"/>
      <c r="J69" s="530"/>
      <c r="K69" s="401">
        <f t="shared" si="17"/>
      </c>
      <c r="L69" s="322"/>
      <c r="M69" s="322"/>
      <c r="N69" s="377"/>
      <c r="O69" s="322"/>
      <c r="P69" s="320"/>
      <c r="Q69" s="450" t="str">
        <f t="shared" si="18"/>
        <v>CAPINI_1_</v>
      </c>
      <c r="R69" s="450" t="str">
        <f t="shared" si="19"/>
        <v>HAL_1_</v>
      </c>
      <c r="S69" s="450" t="str">
        <f t="shared" si="20"/>
        <v>HAL_1_5</v>
      </c>
      <c r="T69" s="440"/>
      <c r="U69" s="440"/>
      <c r="V69" s="452">
        <f t="shared" si="23"/>
        <v>1</v>
      </c>
      <c r="W69" s="440"/>
      <c r="X69" s="440"/>
      <c r="Y69" s="450">
        <f t="shared" si="24"/>
      </c>
      <c r="Z69" s="447" t="b">
        <f t="shared" si="21"/>
        <v>0</v>
      </c>
      <c r="AA69" s="422"/>
    </row>
    <row r="70" spans="1:27" s="521" customFormat="1" ht="12.75" customHeight="1">
      <c r="A70" s="4"/>
      <c r="B70" s="5"/>
      <c r="C70" s="29">
        <v>6</v>
      </c>
      <c r="D70" s="933">
        <f t="shared" si="16"/>
      </c>
      <c r="E70" s="934"/>
      <c r="F70" s="934"/>
      <c r="G70" s="935"/>
      <c r="H70" s="64">
        <f t="shared" si="22"/>
      </c>
      <c r="I70" s="530"/>
      <c r="J70" s="530"/>
      <c r="K70" s="401">
        <f t="shared" si="17"/>
      </c>
      <c r="L70" s="322"/>
      <c r="M70" s="322"/>
      <c r="N70" s="322"/>
      <c r="O70" s="322"/>
      <c r="P70" s="9"/>
      <c r="Q70" s="450" t="str">
        <f t="shared" si="18"/>
        <v>CAPINI_1_</v>
      </c>
      <c r="R70" s="450" t="str">
        <f t="shared" si="19"/>
        <v>HAL_1_</v>
      </c>
      <c r="S70" s="450" t="str">
        <f t="shared" si="20"/>
        <v>HAL_1_6</v>
      </c>
      <c r="T70" s="440"/>
      <c r="U70" s="440"/>
      <c r="V70" s="452">
        <f t="shared" si="23"/>
        <v>1</v>
      </c>
      <c r="W70" s="440"/>
      <c r="X70" s="440"/>
      <c r="Y70" s="450">
        <f t="shared" si="24"/>
      </c>
      <c r="Z70" s="447" t="b">
        <f t="shared" si="21"/>
        <v>0</v>
      </c>
      <c r="AA70" s="422"/>
    </row>
    <row r="71" spans="1:27" s="521" customFormat="1" ht="12.75" customHeight="1">
      <c r="A71" s="4"/>
      <c r="B71" s="5"/>
      <c r="C71" s="29">
        <v>7</v>
      </c>
      <c r="D71" s="933">
        <f t="shared" si="16"/>
      </c>
      <c r="E71" s="934"/>
      <c r="F71" s="934"/>
      <c r="G71" s="935"/>
      <c r="H71" s="64">
        <f t="shared" si="22"/>
      </c>
      <c r="I71" s="530"/>
      <c r="J71" s="530"/>
      <c r="K71" s="401">
        <f t="shared" si="17"/>
      </c>
      <c r="L71" s="322"/>
      <c r="M71" s="322"/>
      <c r="N71" s="322"/>
      <c r="O71" s="322"/>
      <c r="P71" s="9"/>
      <c r="Q71" s="450" t="str">
        <f t="shared" si="18"/>
        <v>CAPINI_1_</v>
      </c>
      <c r="R71" s="450" t="str">
        <f t="shared" si="19"/>
        <v>HAL_1_</v>
      </c>
      <c r="S71" s="450" t="str">
        <f t="shared" si="20"/>
        <v>HAL_1_7</v>
      </c>
      <c r="T71" s="440"/>
      <c r="U71" s="440"/>
      <c r="V71" s="452">
        <f t="shared" si="23"/>
        <v>1</v>
      </c>
      <c r="W71" s="440"/>
      <c r="X71" s="440"/>
      <c r="Y71" s="450">
        <f t="shared" si="24"/>
      </c>
      <c r="Z71" s="447" t="b">
        <f t="shared" si="21"/>
        <v>0</v>
      </c>
      <c r="AA71" s="422"/>
    </row>
    <row r="72" spans="1:27" s="521" customFormat="1" ht="12.75" customHeight="1">
      <c r="A72" s="4"/>
      <c r="B72" s="5"/>
      <c r="C72" s="29">
        <v>8</v>
      </c>
      <c r="D72" s="933">
        <f t="shared" si="16"/>
      </c>
      <c r="E72" s="934"/>
      <c r="F72" s="934"/>
      <c r="G72" s="935"/>
      <c r="H72" s="64">
        <f t="shared" si="22"/>
      </c>
      <c r="I72" s="530"/>
      <c r="J72" s="530"/>
      <c r="K72" s="401">
        <f t="shared" si="17"/>
      </c>
      <c r="L72" s="322"/>
      <c r="M72" s="322"/>
      <c r="N72" s="322"/>
      <c r="O72" s="322"/>
      <c r="P72" s="9"/>
      <c r="Q72" s="450" t="str">
        <f t="shared" si="18"/>
        <v>CAPINI_1_</v>
      </c>
      <c r="R72" s="450" t="str">
        <f t="shared" si="19"/>
        <v>HAL_1_</v>
      </c>
      <c r="S72" s="450" t="str">
        <f t="shared" si="20"/>
        <v>HAL_1_8</v>
      </c>
      <c r="T72" s="440"/>
      <c r="U72" s="440"/>
      <c r="V72" s="452">
        <f t="shared" si="23"/>
        <v>1</v>
      </c>
      <c r="W72" s="440"/>
      <c r="X72" s="440"/>
      <c r="Y72" s="450">
        <f t="shared" si="24"/>
      </c>
      <c r="Z72" s="447" t="b">
        <f t="shared" si="21"/>
        <v>0</v>
      </c>
      <c r="AA72" s="422"/>
    </row>
    <row r="73" spans="1:27" s="521" customFormat="1" ht="12.75" customHeight="1">
      <c r="A73" s="4"/>
      <c r="B73" s="5"/>
      <c r="C73" s="29">
        <v>9</v>
      </c>
      <c r="D73" s="933">
        <f t="shared" si="16"/>
      </c>
      <c r="E73" s="934"/>
      <c r="F73" s="934"/>
      <c r="G73" s="935"/>
      <c r="H73" s="64">
        <f t="shared" si="22"/>
      </c>
      <c r="I73" s="530"/>
      <c r="J73" s="530"/>
      <c r="K73" s="401">
        <f t="shared" si="17"/>
      </c>
      <c r="L73" s="322"/>
      <c r="M73" s="322"/>
      <c r="N73" s="322"/>
      <c r="O73" s="322"/>
      <c r="P73" s="9"/>
      <c r="Q73" s="450" t="str">
        <f t="shared" si="18"/>
        <v>CAPINI_1_</v>
      </c>
      <c r="R73" s="450" t="str">
        <f t="shared" si="19"/>
        <v>HAL_1_</v>
      </c>
      <c r="S73" s="450" t="str">
        <f t="shared" si="20"/>
        <v>HAL_1_9</v>
      </c>
      <c r="T73" s="440"/>
      <c r="U73" s="440"/>
      <c r="V73" s="452">
        <f t="shared" si="23"/>
        <v>1</v>
      </c>
      <c r="W73" s="440"/>
      <c r="X73" s="440"/>
      <c r="Y73" s="450">
        <f t="shared" si="24"/>
      </c>
      <c r="Z73" s="447" t="b">
        <f t="shared" si="21"/>
        <v>0</v>
      </c>
      <c r="AA73" s="422"/>
    </row>
    <row r="74" spans="1:27" s="521" customFormat="1" ht="12.75" customHeight="1">
      <c r="A74" s="4"/>
      <c r="B74" s="5"/>
      <c r="C74" s="25">
        <v>10</v>
      </c>
      <c r="D74" s="953">
        <f t="shared" si="16"/>
      </c>
      <c r="E74" s="954"/>
      <c r="F74" s="954"/>
      <c r="G74" s="955"/>
      <c r="H74" s="63">
        <f t="shared" si="22"/>
      </c>
      <c r="I74" s="531"/>
      <c r="J74" s="531"/>
      <c r="K74" s="402">
        <f t="shared" si="17"/>
      </c>
      <c r="L74" s="322"/>
      <c r="M74" s="322"/>
      <c r="N74" s="322"/>
      <c r="O74" s="322"/>
      <c r="P74" s="9"/>
      <c r="Q74" s="450" t="str">
        <f t="shared" si="18"/>
        <v>CAPINI_1_</v>
      </c>
      <c r="R74" s="450" t="str">
        <f t="shared" si="19"/>
        <v>HAL_1_</v>
      </c>
      <c r="S74" s="450" t="str">
        <f t="shared" si="20"/>
        <v>HAL_1_10</v>
      </c>
      <c r="T74" s="440"/>
      <c r="U74" s="440"/>
      <c r="V74" s="452">
        <f t="shared" si="23"/>
        <v>1</v>
      </c>
      <c r="W74" s="440"/>
      <c r="X74" s="440"/>
      <c r="Y74" s="450">
        <f t="shared" si="24"/>
      </c>
      <c r="Z74" s="447" t="b">
        <f t="shared" si="21"/>
        <v>0</v>
      </c>
      <c r="AA74" s="422"/>
    </row>
    <row r="75" spans="1:27" s="521" customFormat="1" ht="12.75" customHeight="1">
      <c r="A75" s="4"/>
      <c r="B75" s="5"/>
      <c r="C75" s="29">
        <v>11</v>
      </c>
      <c r="D75" s="936" t="str">
        <f aca="true" t="shared" si="25" ref="D75:D80">INDEX(EUconst_FallBackListNames,C75-10)</f>
        <v>Sottoimpianto oggetto di un parametro di riferimento relativo al calore, CL</v>
      </c>
      <c r="E75" s="937"/>
      <c r="F75" s="937"/>
      <c r="G75" s="938"/>
      <c r="H75" s="65" t="str">
        <f aca="true" t="shared" si="26" ref="H75:H80">IF(D75&lt;&gt;"",INDEX(EUconst_FallBackListUnits,MATCH($D75,EUconst_FallBackListNames,0))&amp;" / "&amp;EUconst_Year,"")</f>
        <v>TJ / anno</v>
      </c>
      <c r="I75" s="534"/>
      <c r="J75" s="529"/>
      <c r="K75" s="403">
        <f aca="true" t="shared" si="27" ref="K75:K80">IF(Y75="","",IF(AND(COUNT(G52:N52)&gt;0,COUNT(I75:J75)&lt;2),EUconst_Incomplete,""))</f>
      </c>
      <c r="L75" s="322"/>
      <c r="M75" s="322"/>
      <c r="N75" s="322"/>
      <c r="O75" s="322"/>
      <c r="P75" s="9"/>
      <c r="Q75" s="450" t="str">
        <f t="shared" si="18"/>
        <v>CAPINI_1_Sottoimpianto oggetto di un parametro di riferimento relativo al calore, CL</v>
      </c>
      <c r="R75" s="450" t="str">
        <f t="shared" si="19"/>
        <v>HAL_1_Sottoimpianto oggetto di un parametro di riferimento relativo al calore, CL</v>
      </c>
      <c r="S75" s="440"/>
      <c r="T75" s="440"/>
      <c r="U75" s="440"/>
      <c r="V75" s="452">
        <f t="shared" si="23"/>
        <v>1</v>
      </c>
      <c r="W75" s="440"/>
      <c r="X75" s="440"/>
      <c r="Y75" s="450">
        <f t="shared" si="24"/>
      </c>
      <c r="Z75" s="447" t="b">
        <f aca="true" t="shared" si="28" ref="Z75:Z80">AND(Y75&lt;&gt;"",COUNT(G28:N28)=0)</f>
        <v>0</v>
      </c>
      <c r="AA75" s="422"/>
    </row>
    <row r="76" spans="1:27" s="521" customFormat="1" ht="12.75" customHeight="1">
      <c r="A76" s="4"/>
      <c r="B76" s="5"/>
      <c r="C76" s="29">
        <v>12</v>
      </c>
      <c r="D76" s="947" t="str">
        <f t="shared" si="25"/>
        <v>Sottoimpianto oggetto di un parametro di riferimento relativo al calore, non CL</v>
      </c>
      <c r="E76" s="948"/>
      <c r="F76" s="948"/>
      <c r="G76" s="949"/>
      <c r="H76" s="64" t="str">
        <f t="shared" si="26"/>
        <v>TJ / anno</v>
      </c>
      <c r="I76" s="535"/>
      <c r="J76" s="530"/>
      <c r="K76" s="401">
        <f t="shared" si="27"/>
      </c>
      <c r="L76" s="322"/>
      <c r="M76" s="322"/>
      <c r="N76" s="322"/>
      <c r="O76" s="322"/>
      <c r="P76" s="9"/>
      <c r="Q76" s="450" t="str">
        <f t="shared" si="18"/>
        <v>CAPINI_1_Sottoimpianto oggetto di un parametro di riferimento relativo al calore, non CL</v>
      </c>
      <c r="R76" s="450" t="str">
        <f t="shared" si="19"/>
        <v>HAL_1_Sottoimpianto oggetto di un parametro di riferimento relativo al calore, non CL</v>
      </c>
      <c r="S76" s="440"/>
      <c r="T76" s="440"/>
      <c r="U76" s="440"/>
      <c r="V76" s="452">
        <f t="shared" si="23"/>
        <v>1</v>
      </c>
      <c r="W76" s="440"/>
      <c r="X76" s="440"/>
      <c r="Y76" s="450">
        <f t="shared" si="24"/>
      </c>
      <c r="Z76" s="447" t="b">
        <f t="shared" si="28"/>
        <v>0</v>
      </c>
      <c r="AA76" s="422"/>
    </row>
    <row r="77" spans="1:27" s="521" customFormat="1" ht="12.75" customHeight="1">
      <c r="A77" s="4"/>
      <c r="B77" s="5"/>
      <c r="C77" s="29">
        <v>13</v>
      </c>
      <c r="D77" s="947" t="str">
        <f t="shared" si="25"/>
        <v>Sottoimpianto oggetto di un parametro di riferimento relativo al combustibile, CL</v>
      </c>
      <c r="E77" s="948"/>
      <c r="F77" s="948"/>
      <c r="G77" s="949"/>
      <c r="H77" s="64" t="str">
        <f t="shared" si="26"/>
        <v>TJ / anno</v>
      </c>
      <c r="I77" s="535"/>
      <c r="J77" s="530"/>
      <c r="K77" s="401">
        <f t="shared" si="27"/>
      </c>
      <c r="L77" s="322"/>
      <c r="M77" s="322"/>
      <c r="N77" s="322"/>
      <c r="O77" s="322"/>
      <c r="P77" s="9"/>
      <c r="Q77" s="450" t="str">
        <f t="shared" si="18"/>
        <v>CAPINI_1_Sottoimpianto oggetto di un parametro di riferimento relativo al combustibile, CL</v>
      </c>
      <c r="R77" s="450" t="str">
        <f t="shared" si="19"/>
        <v>HAL_1_Sottoimpianto oggetto di un parametro di riferimento relativo al combustibile, CL</v>
      </c>
      <c r="S77" s="440"/>
      <c r="T77" s="440"/>
      <c r="U77" s="440"/>
      <c r="V77" s="452">
        <f t="shared" si="23"/>
        <v>1</v>
      </c>
      <c r="W77" s="440"/>
      <c r="X77" s="440"/>
      <c r="Y77" s="450">
        <f t="shared" si="24"/>
      </c>
      <c r="Z77" s="447" t="b">
        <f t="shared" si="28"/>
        <v>0</v>
      </c>
      <c r="AA77" s="422"/>
    </row>
    <row r="78" spans="1:27" s="521" customFormat="1" ht="12.75" customHeight="1">
      <c r="A78" s="4"/>
      <c r="B78" s="5"/>
      <c r="C78" s="29">
        <v>14</v>
      </c>
      <c r="D78" s="947" t="str">
        <f t="shared" si="25"/>
        <v>Sottoimpianto oggetto di un parametro di riferimento relativo al combustibile, non CL</v>
      </c>
      <c r="E78" s="948"/>
      <c r="F78" s="948"/>
      <c r="G78" s="949"/>
      <c r="H78" s="64" t="str">
        <f t="shared" si="26"/>
        <v>TJ / anno</v>
      </c>
      <c r="I78" s="535"/>
      <c r="J78" s="530"/>
      <c r="K78" s="401">
        <f t="shared" si="27"/>
      </c>
      <c r="L78" s="322"/>
      <c r="M78" s="322"/>
      <c r="N78" s="322"/>
      <c r="O78" s="322"/>
      <c r="P78" s="9"/>
      <c r="Q78" s="450" t="str">
        <f t="shared" si="18"/>
        <v>CAPINI_1_Sottoimpianto oggetto di un parametro di riferimento relativo al combustibile, non CL</v>
      </c>
      <c r="R78" s="450" t="str">
        <f t="shared" si="19"/>
        <v>HAL_1_Sottoimpianto oggetto di un parametro di riferimento relativo al combustibile, non CL</v>
      </c>
      <c r="S78" s="440"/>
      <c r="T78" s="440"/>
      <c r="U78" s="440"/>
      <c r="V78" s="452">
        <f t="shared" si="23"/>
        <v>1</v>
      </c>
      <c r="W78" s="440"/>
      <c r="X78" s="440"/>
      <c r="Y78" s="450">
        <f t="shared" si="24"/>
      </c>
      <c r="Z78" s="447" t="b">
        <f t="shared" si="28"/>
        <v>0</v>
      </c>
      <c r="AA78" s="422"/>
    </row>
    <row r="79" spans="1:27" s="521" customFormat="1" ht="12.75" customHeight="1">
      <c r="A79" s="4"/>
      <c r="B79" s="5"/>
      <c r="C79" s="29">
        <v>15</v>
      </c>
      <c r="D79" s="947" t="str">
        <f t="shared" si="25"/>
        <v>Sottoimpianto con emissioni di processo, CL</v>
      </c>
      <c r="E79" s="948"/>
      <c r="F79" s="948"/>
      <c r="G79" s="949"/>
      <c r="H79" s="64" t="str">
        <f t="shared" si="26"/>
        <v>t CO2e / anno</v>
      </c>
      <c r="I79" s="535"/>
      <c r="J79" s="530"/>
      <c r="K79" s="401">
        <f t="shared" si="27"/>
      </c>
      <c r="L79" s="322"/>
      <c r="M79" s="322"/>
      <c r="N79" s="322"/>
      <c r="O79" s="322"/>
      <c r="P79" s="9"/>
      <c r="Q79" s="450" t="str">
        <f t="shared" si="18"/>
        <v>CAPINI_1_Sottoimpianto con emissioni di processo, CL</v>
      </c>
      <c r="R79" s="450" t="str">
        <f t="shared" si="19"/>
        <v>HAL_1_Sottoimpianto con emissioni di processo, CL</v>
      </c>
      <c r="S79" s="440"/>
      <c r="T79" s="440"/>
      <c r="U79" s="440"/>
      <c r="V79" s="452">
        <f t="shared" si="23"/>
        <v>1</v>
      </c>
      <c r="W79" s="440"/>
      <c r="X79" s="440"/>
      <c r="Y79" s="450">
        <f t="shared" si="24"/>
      </c>
      <c r="Z79" s="447" t="b">
        <f t="shared" si="28"/>
        <v>0</v>
      </c>
      <c r="AA79" s="422"/>
    </row>
    <row r="80" spans="1:27" s="521" customFormat="1" ht="12.75" customHeight="1" thickBot="1">
      <c r="A80" s="4"/>
      <c r="B80" s="5"/>
      <c r="C80" s="25">
        <v>16</v>
      </c>
      <c r="D80" s="950" t="str">
        <f t="shared" si="25"/>
        <v>Sottoimpianto con emissioni di processo, non CL</v>
      </c>
      <c r="E80" s="951"/>
      <c r="F80" s="951"/>
      <c r="G80" s="952"/>
      <c r="H80" s="63" t="str">
        <f t="shared" si="26"/>
        <v>t CO2e / anno</v>
      </c>
      <c r="I80" s="536"/>
      <c r="J80" s="531"/>
      <c r="K80" s="402">
        <f t="shared" si="27"/>
      </c>
      <c r="L80" s="322"/>
      <c r="M80" s="322"/>
      <c r="N80" s="322"/>
      <c r="O80" s="322"/>
      <c r="P80" s="9"/>
      <c r="Q80" s="450" t="str">
        <f t="shared" si="18"/>
        <v>CAPINI_1_Sottoimpianto con emissioni di processo, non CL</v>
      </c>
      <c r="R80" s="450" t="str">
        <f t="shared" si="19"/>
        <v>HAL_1_Sottoimpianto con emissioni di processo, non CL</v>
      </c>
      <c r="S80" s="440"/>
      <c r="T80" s="440"/>
      <c r="U80" s="440"/>
      <c r="V80" s="453">
        <f t="shared" si="23"/>
        <v>1</v>
      </c>
      <c r="W80" s="440"/>
      <c r="X80" s="440"/>
      <c r="Y80" s="450">
        <f t="shared" si="24"/>
      </c>
      <c r="Z80" s="447" t="b">
        <f t="shared" si="28"/>
        <v>0</v>
      </c>
      <c r="AA80" s="422"/>
    </row>
    <row r="81" spans="1:27" s="521" customFormat="1" ht="25.5" customHeight="1" thickBot="1">
      <c r="A81" s="4"/>
      <c r="B81" s="5"/>
      <c r="C81" s="344"/>
      <c r="D81" s="344"/>
      <c r="E81" s="368"/>
      <c r="F81" s="368"/>
      <c r="G81" s="368"/>
      <c r="H81" s="368"/>
      <c r="I81" s="369"/>
      <c r="J81" s="373"/>
      <c r="K81" s="344"/>
      <c r="L81" s="344"/>
      <c r="M81" s="344"/>
      <c r="N81" s="344"/>
      <c r="O81" s="322"/>
      <c r="P81" s="9"/>
      <c r="Q81" s="440"/>
      <c r="R81" s="440"/>
      <c r="S81" s="440"/>
      <c r="T81" s="440"/>
      <c r="U81" s="440"/>
      <c r="V81" s="440"/>
      <c r="W81" s="440"/>
      <c r="X81" s="440"/>
      <c r="Y81" s="440"/>
      <c r="Z81" s="440"/>
      <c r="AA81" s="422"/>
    </row>
    <row r="82" spans="1:27" s="521" customFormat="1" ht="4.5" customHeight="1" thickBot="1">
      <c r="A82" s="4"/>
      <c r="B82" s="5"/>
      <c r="C82" s="7"/>
      <c r="D82" s="5"/>
      <c r="E82" s="5"/>
      <c r="F82" s="5"/>
      <c r="G82" s="5"/>
      <c r="H82" s="5"/>
      <c r="I82" s="5"/>
      <c r="J82" s="5"/>
      <c r="K82" s="5"/>
      <c r="L82" s="5"/>
      <c r="M82" s="9"/>
      <c r="N82" s="9"/>
      <c r="O82" s="314"/>
      <c r="P82" s="9"/>
      <c r="Q82" s="440"/>
      <c r="R82" s="422"/>
      <c r="S82" s="422"/>
      <c r="T82" s="422"/>
      <c r="U82" s="422"/>
      <c r="V82" s="422"/>
      <c r="W82" s="422"/>
      <c r="X82" s="422"/>
      <c r="Y82" s="422"/>
      <c r="Z82" s="422"/>
      <c r="AA82" s="422"/>
    </row>
    <row r="83" spans="1:27" s="524" customFormat="1" ht="18" customHeight="1" thickBot="1">
      <c r="A83" s="207"/>
      <c r="B83" s="208"/>
      <c r="C83" s="336">
        <v>2</v>
      </c>
      <c r="D83" s="945" t="str">
        <f>Translations!$B$1492&amp;" "&amp;C83&amp;":"</f>
        <v>Impianto PRIMA della fusione, della scissione o del trasferimento 2:</v>
      </c>
      <c r="E83" s="945"/>
      <c r="F83" s="945"/>
      <c r="G83" s="945"/>
      <c r="H83" s="945"/>
      <c r="I83" s="945"/>
      <c r="J83" s="946"/>
      <c r="K83" s="967">
        <f>INDEX(A_InstallationData!$J$200:$J$273,MATCH($C83,A_InstallationData!$R$200:$R$273,0))</f>
      </c>
      <c r="L83" s="968"/>
      <c r="M83" s="968"/>
      <c r="N83" s="969"/>
      <c r="O83" s="338"/>
      <c r="P83" s="330"/>
      <c r="Q83" s="444"/>
      <c r="R83" s="444"/>
      <c r="S83" s="444"/>
      <c r="T83" s="422"/>
      <c r="U83" s="444"/>
      <c r="V83" s="444"/>
      <c r="W83" s="444"/>
      <c r="X83" s="444"/>
      <c r="Y83" s="444"/>
      <c r="Z83" s="446" t="s">
        <v>299</v>
      </c>
      <c r="AA83" s="422"/>
    </row>
    <row r="84" spans="1:27" s="521" customFormat="1" ht="18" customHeight="1">
      <c r="A84" s="4"/>
      <c r="B84" s="5"/>
      <c r="C84" s="7"/>
      <c r="D84" s="5"/>
      <c r="E84" s="9"/>
      <c r="F84" s="5"/>
      <c r="G84" s="5"/>
      <c r="H84" s="5"/>
      <c r="I84" s="5"/>
      <c r="J84" s="5"/>
      <c r="K84" s="5"/>
      <c r="L84" s="5"/>
      <c r="M84" s="956">
        <f>IF(CNTR_Merger&lt;&gt;TRUE,"",IF(OR(K83="",CNTR_MergerORSplitORTransfer=2),EUconst_NotRelevant,EUconst_Relevant))</f>
      </c>
      <c r="N84" s="956"/>
      <c r="O84" s="314"/>
      <c r="P84" s="9"/>
      <c r="Q84" s="440"/>
      <c r="R84" s="422"/>
      <c r="S84" s="422"/>
      <c r="T84" s="422"/>
      <c r="U84" s="422"/>
      <c r="V84" s="422"/>
      <c r="W84" s="422"/>
      <c r="X84" s="422"/>
      <c r="Y84" s="422"/>
      <c r="Z84" s="422"/>
      <c r="AA84" s="422"/>
    </row>
    <row r="85" spans="1:27" s="521" customFormat="1" ht="12.75" customHeight="1">
      <c r="A85" s="4"/>
      <c r="B85" s="5"/>
      <c r="C85" s="7"/>
      <c r="D85" s="5"/>
      <c r="E85" s="5"/>
      <c r="F85" s="5"/>
      <c r="G85" s="5"/>
      <c r="H85" s="5"/>
      <c r="I85" s="5"/>
      <c r="J85" s="5"/>
      <c r="K85" s="5"/>
      <c r="L85" s="5"/>
      <c r="M85" s="9"/>
      <c r="N85" s="9"/>
      <c r="O85" s="314"/>
      <c r="P85" s="9"/>
      <c r="Q85" s="440"/>
      <c r="R85" s="422"/>
      <c r="S85" s="422"/>
      <c r="T85" s="422"/>
      <c r="U85" s="422"/>
      <c r="V85" s="422"/>
      <c r="W85" s="422"/>
      <c r="X85" s="422"/>
      <c r="Y85" s="422"/>
      <c r="Z85" s="422"/>
      <c r="AA85" s="422"/>
    </row>
    <row r="86" spans="1:27" s="521" customFormat="1" ht="12.75" customHeight="1">
      <c r="A86" s="4"/>
      <c r="B86" s="5"/>
      <c r="C86" s="5"/>
      <c r="D86" s="193" t="s">
        <v>462</v>
      </c>
      <c r="E86" s="728" t="str">
        <f>Translations!$B$1551</f>
        <v>Assegnazione definitiva più recente senza fattori di adeguamento per eventuali cessazioni parziali</v>
      </c>
      <c r="F86" s="724"/>
      <c r="G86" s="724"/>
      <c r="H86" s="724"/>
      <c r="I86" s="724"/>
      <c r="J86" s="724"/>
      <c r="K86" s="724"/>
      <c r="L86" s="724"/>
      <c r="M86" s="724"/>
      <c r="N86" s="724"/>
      <c r="O86" s="316"/>
      <c r="P86" s="377"/>
      <c r="Q86" s="440"/>
      <c r="R86" s="422"/>
      <c r="S86" s="422"/>
      <c r="T86" s="422"/>
      <c r="U86" s="422"/>
      <c r="V86" s="422"/>
      <c r="W86" s="422"/>
      <c r="X86" s="422"/>
      <c r="Y86" s="422"/>
      <c r="Z86" s="422"/>
      <c r="AA86" s="422"/>
    </row>
    <row r="87" spans="1:27" s="521" customFormat="1" ht="4.5" customHeight="1">
      <c r="A87" s="4"/>
      <c r="B87" s="5"/>
      <c r="C87" s="5"/>
      <c r="D87" s="5"/>
      <c r="E87" s="5"/>
      <c r="F87" s="5"/>
      <c r="G87" s="5"/>
      <c r="H87" s="5"/>
      <c r="I87" s="5"/>
      <c r="J87" s="5"/>
      <c r="K87" s="5"/>
      <c r="L87" s="5"/>
      <c r="M87" s="9"/>
      <c r="N87" s="9"/>
      <c r="O87" s="322"/>
      <c r="P87" s="9"/>
      <c r="Q87" s="440"/>
      <c r="R87" s="422"/>
      <c r="S87" s="422"/>
      <c r="T87" s="422"/>
      <c r="U87" s="422"/>
      <c r="V87" s="422"/>
      <c r="W87" s="422"/>
      <c r="X87" s="422"/>
      <c r="Y87" s="422"/>
      <c r="Z87" s="422"/>
      <c r="AA87" s="422"/>
    </row>
    <row r="88" spans="1:27" s="521" customFormat="1" ht="12.75" customHeight="1" thickBot="1">
      <c r="A88" s="4"/>
      <c r="B88" s="5"/>
      <c r="C88" s="20"/>
      <c r="D88" s="791" t="str">
        <f>Translations!$B$440</f>
        <v>Sottoimpianto</v>
      </c>
      <c r="E88" s="867"/>
      <c r="F88" s="963"/>
      <c r="G88" s="211">
        <v>2013</v>
      </c>
      <c r="H88" s="211">
        <v>2014</v>
      </c>
      <c r="I88" s="211">
        <v>2015</v>
      </c>
      <c r="J88" s="211">
        <v>2016</v>
      </c>
      <c r="K88" s="211">
        <v>2017</v>
      </c>
      <c r="L88" s="211">
        <v>2018</v>
      </c>
      <c r="M88" s="211">
        <v>2019</v>
      </c>
      <c r="N88" s="211">
        <v>2020</v>
      </c>
      <c r="O88" s="322"/>
      <c r="P88" s="320"/>
      <c r="Q88" s="440"/>
      <c r="R88" s="422"/>
      <c r="S88" s="422"/>
      <c r="T88" s="448" t="s">
        <v>497</v>
      </c>
      <c r="U88" s="422"/>
      <c r="V88" s="448" t="s">
        <v>545</v>
      </c>
      <c r="W88" s="422"/>
      <c r="X88" s="449" t="s">
        <v>546</v>
      </c>
      <c r="Y88" s="422"/>
      <c r="Z88" s="446" t="s">
        <v>299</v>
      </c>
      <c r="AA88" s="422"/>
    </row>
    <row r="89" spans="1:27" s="521" customFormat="1" ht="12.75" customHeight="1" thickBot="1">
      <c r="A89" s="4"/>
      <c r="B89" s="5"/>
      <c r="C89" s="210">
        <v>0</v>
      </c>
      <c r="D89" s="939" t="str">
        <f>Translations!$B$1447</f>
        <v>Fase prima dell'avvio</v>
      </c>
      <c r="E89" s="940"/>
      <c r="F89" s="941"/>
      <c r="G89" s="513"/>
      <c r="H89" s="513"/>
      <c r="I89" s="513"/>
      <c r="J89" s="513"/>
      <c r="K89" s="513"/>
      <c r="L89" s="513"/>
      <c r="M89" s="513"/>
      <c r="N89" s="513"/>
      <c r="O89" s="322"/>
      <c r="P89" s="320"/>
      <c r="Q89" s="450" t="str">
        <f aca="true" t="shared" si="29" ref="Q89:Q106">EUconst_CNTR_Finitial&amp;$V89&amp;"_"&amp;$D89</f>
        <v>FInitial_2_Fase prima dell'avvio</v>
      </c>
      <c r="R89" s="422"/>
      <c r="S89" s="422"/>
      <c r="T89" s="448"/>
      <c r="U89" s="422"/>
      <c r="V89" s="451">
        <f>C83</f>
        <v>2</v>
      </c>
      <c r="W89" s="422"/>
      <c r="X89" s="447" t="b">
        <f aca="true" t="shared" si="30" ref="X89:X106">COUNT(G89:N89)&gt;0</f>
        <v>0</v>
      </c>
      <c r="Y89" s="422"/>
      <c r="Z89" s="447" t="b">
        <f>M84=EUconst_NotRelevant</f>
        <v>0</v>
      </c>
      <c r="AA89" s="422"/>
    </row>
    <row r="90" spans="1:27" s="521" customFormat="1" ht="12.75" customHeight="1">
      <c r="A90" s="4"/>
      <c r="B90" s="5"/>
      <c r="C90" s="29">
        <v>1</v>
      </c>
      <c r="D90" s="964"/>
      <c r="E90" s="965"/>
      <c r="F90" s="966"/>
      <c r="G90" s="347"/>
      <c r="H90" s="347"/>
      <c r="I90" s="347"/>
      <c r="J90" s="347"/>
      <c r="K90" s="347"/>
      <c r="L90" s="347"/>
      <c r="M90" s="347"/>
      <c r="N90" s="347"/>
      <c r="O90" s="322"/>
      <c r="P90" s="320"/>
      <c r="Q90" s="450" t="str">
        <f t="shared" si="29"/>
        <v>FInitial_2_</v>
      </c>
      <c r="R90" s="422"/>
      <c r="S90" s="422"/>
      <c r="T90" s="451">
        <f>IF(OR(D90="",COUNTIF($D$17:D90,D90)&gt;1),"",MAX($T$17:T89)+1)</f>
      </c>
      <c r="U90" s="422"/>
      <c r="V90" s="452">
        <f aca="true" t="shared" si="31" ref="V90:V106">V89</f>
        <v>2</v>
      </c>
      <c r="W90" s="422"/>
      <c r="X90" s="447" t="b">
        <f t="shared" si="30"/>
        <v>0</v>
      </c>
      <c r="Y90" s="422"/>
      <c r="Z90" s="447" t="b">
        <f aca="true" t="shared" si="32" ref="Z90:Z107">Z89</f>
        <v>0</v>
      </c>
      <c r="AA90" s="422"/>
    </row>
    <row r="91" spans="1:27" s="521" customFormat="1" ht="12.75" customHeight="1">
      <c r="A91" s="4"/>
      <c r="B91" s="5"/>
      <c r="C91" s="29">
        <v>2</v>
      </c>
      <c r="D91" s="864"/>
      <c r="E91" s="874"/>
      <c r="F91" s="868"/>
      <c r="G91" s="346"/>
      <c r="H91" s="346"/>
      <c r="I91" s="346"/>
      <c r="J91" s="346"/>
      <c r="K91" s="346"/>
      <c r="L91" s="346"/>
      <c r="M91" s="346"/>
      <c r="N91" s="346"/>
      <c r="O91" s="322"/>
      <c r="P91" s="320"/>
      <c r="Q91" s="450" t="str">
        <f t="shared" si="29"/>
        <v>FInitial_2_</v>
      </c>
      <c r="R91" s="422"/>
      <c r="S91" s="422"/>
      <c r="T91" s="452">
        <f>IF(OR(D91="",COUNTIF($D$17:D91,D91)&gt;1),"",MAX($T$17:T90)+1)</f>
      </c>
      <c r="U91" s="422"/>
      <c r="V91" s="452">
        <f t="shared" si="31"/>
        <v>2</v>
      </c>
      <c r="W91" s="422"/>
      <c r="X91" s="447" t="b">
        <f t="shared" si="30"/>
        <v>0</v>
      </c>
      <c r="Y91" s="422"/>
      <c r="Z91" s="447" t="b">
        <f t="shared" si="32"/>
        <v>0</v>
      </c>
      <c r="AA91" s="422"/>
    </row>
    <row r="92" spans="1:27" s="521" customFormat="1" ht="12.75" customHeight="1">
      <c r="A92" s="4"/>
      <c r="B92" s="5"/>
      <c r="C92" s="29">
        <v>3</v>
      </c>
      <c r="D92" s="864"/>
      <c r="E92" s="874"/>
      <c r="F92" s="868"/>
      <c r="G92" s="346"/>
      <c r="H92" s="346"/>
      <c r="I92" s="346"/>
      <c r="J92" s="346"/>
      <c r="K92" s="346"/>
      <c r="L92" s="346"/>
      <c r="M92" s="346"/>
      <c r="N92" s="346"/>
      <c r="O92" s="322"/>
      <c r="P92" s="320"/>
      <c r="Q92" s="450" t="str">
        <f t="shared" si="29"/>
        <v>FInitial_2_</v>
      </c>
      <c r="R92" s="422"/>
      <c r="S92" s="422"/>
      <c r="T92" s="452">
        <f>IF(OR(D92="",COUNTIF($D$17:D92,D92)&gt;1),"",MAX($T$17:T91)+1)</f>
      </c>
      <c r="U92" s="422"/>
      <c r="V92" s="452">
        <f t="shared" si="31"/>
        <v>2</v>
      </c>
      <c r="W92" s="422"/>
      <c r="X92" s="447" t="b">
        <f t="shared" si="30"/>
        <v>0</v>
      </c>
      <c r="Y92" s="422"/>
      <c r="Z92" s="447" t="b">
        <f t="shared" si="32"/>
        <v>0</v>
      </c>
      <c r="AA92" s="422"/>
    </row>
    <row r="93" spans="1:27" s="521" customFormat="1" ht="12.75" customHeight="1">
      <c r="A93" s="4"/>
      <c r="B93" s="5"/>
      <c r="C93" s="29">
        <v>4</v>
      </c>
      <c r="D93" s="864"/>
      <c r="E93" s="874"/>
      <c r="F93" s="868"/>
      <c r="G93" s="346"/>
      <c r="H93" s="346"/>
      <c r="I93" s="346"/>
      <c r="J93" s="346"/>
      <c r="K93" s="346"/>
      <c r="L93" s="346"/>
      <c r="M93" s="346"/>
      <c r="N93" s="346"/>
      <c r="O93" s="322"/>
      <c r="P93" s="320"/>
      <c r="Q93" s="450" t="str">
        <f t="shared" si="29"/>
        <v>FInitial_2_</v>
      </c>
      <c r="R93" s="422"/>
      <c r="S93" s="422"/>
      <c r="T93" s="452">
        <f>IF(OR(D93="",COUNTIF($D$17:D93,D93)&gt;1),"",MAX($T$17:T92)+1)</f>
      </c>
      <c r="U93" s="422"/>
      <c r="V93" s="452">
        <f t="shared" si="31"/>
        <v>2</v>
      </c>
      <c r="W93" s="422"/>
      <c r="X93" s="447" t="b">
        <f t="shared" si="30"/>
        <v>0</v>
      </c>
      <c r="Y93" s="422"/>
      <c r="Z93" s="447" t="b">
        <f t="shared" si="32"/>
        <v>0</v>
      </c>
      <c r="AA93" s="422"/>
    </row>
    <row r="94" spans="1:27" s="521" customFormat="1" ht="12.75" customHeight="1">
      <c r="A94" s="4"/>
      <c r="B94" s="5"/>
      <c r="C94" s="29">
        <v>5</v>
      </c>
      <c r="D94" s="864"/>
      <c r="E94" s="874"/>
      <c r="F94" s="868"/>
      <c r="G94" s="346"/>
      <c r="H94" s="346"/>
      <c r="I94" s="346"/>
      <c r="J94" s="346"/>
      <c r="K94" s="346"/>
      <c r="L94" s="346"/>
      <c r="M94" s="346"/>
      <c r="N94" s="346"/>
      <c r="O94" s="322"/>
      <c r="P94" s="320"/>
      <c r="Q94" s="450" t="str">
        <f t="shared" si="29"/>
        <v>FInitial_2_</v>
      </c>
      <c r="R94" s="422"/>
      <c r="S94" s="422"/>
      <c r="T94" s="452">
        <f>IF(OR(D94="",COUNTIF($D$17:D94,D94)&gt;1),"",MAX($T$17:T93)+1)</f>
      </c>
      <c r="U94" s="422"/>
      <c r="V94" s="452">
        <f t="shared" si="31"/>
        <v>2</v>
      </c>
      <c r="W94" s="422"/>
      <c r="X94" s="447" t="b">
        <f t="shared" si="30"/>
        <v>0</v>
      </c>
      <c r="Y94" s="422"/>
      <c r="Z94" s="447" t="b">
        <f t="shared" si="32"/>
        <v>0</v>
      </c>
      <c r="AA94" s="422"/>
    </row>
    <row r="95" spans="1:27" s="521" customFormat="1" ht="12.75" customHeight="1">
      <c r="A95" s="4"/>
      <c r="B95" s="5"/>
      <c r="C95" s="29">
        <v>6</v>
      </c>
      <c r="D95" s="864"/>
      <c r="E95" s="874"/>
      <c r="F95" s="868"/>
      <c r="G95" s="346"/>
      <c r="H95" s="346"/>
      <c r="I95" s="346"/>
      <c r="J95" s="346"/>
      <c r="K95" s="346"/>
      <c r="L95" s="346"/>
      <c r="M95" s="346"/>
      <c r="N95" s="346"/>
      <c r="O95" s="322"/>
      <c r="P95" s="9"/>
      <c r="Q95" s="450" t="str">
        <f t="shared" si="29"/>
        <v>FInitial_2_</v>
      </c>
      <c r="R95" s="422"/>
      <c r="S95" s="422"/>
      <c r="T95" s="452">
        <f>IF(OR(D95="",COUNTIF($D$17:D95,D95)&gt;1),"",MAX($T$17:T94)+1)</f>
      </c>
      <c r="U95" s="422"/>
      <c r="V95" s="452">
        <f t="shared" si="31"/>
        <v>2</v>
      </c>
      <c r="W95" s="422"/>
      <c r="X95" s="447" t="b">
        <f t="shared" si="30"/>
        <v>0</v>
      </c>
      <c r="Y95" s="422"/>
      <c r="Z95" s="447" t="b">
        <f t="shared" si="32"/>
        <v>0</v>
      </c>
      <c r="AA95" s="422"/>
    </row>
    <row r="96" spans="1:27" s="521" customFormat="1" ht="12.75" customHeight="1">
      <c r="A96" s="4"/>
      <c r="B96" s="5"/>
      <c r="C96" s="29">
        <v>7</v>
      </c>
      <c r="D96" s="864"/>
      <c r="E96" s="874"/>
      <c r="F96" s="868"/>
      <c r="G96" s="346"/>
      <c r="H96" s="346"/>
      <c r="I96" s="346"/>
      <c r="J96" s="346"/>
      <c r="K96" s="346"/>
      <c r="L96" s="346"/>
      <c r="M96" s="346"/>
      <c r="N96" s="346"/>
      <c r="O96" s="322"/>
      <c r="P96" s="9"/>
      <c r="Q96" s="450" t="str">
        <f t="shared" si="29"/>
        <v>FInitial_2_</v>
      </c>
      <c r="R96" s="422"/>
      <c r="S96" s="422"/>
      <c r="T96" s="452">
        <f>IF(OR(D96="",COUNTIF($D$17:D96,D96)&gt;1),"",MAX($T$17:T95)+1)</f>
      </c>
      <c r="U96" s="422"/>
      <c r="V96" s="452">
        <f t="shared" si="31"/>
        <v>2</v>
      </c>
      <c r="W96" s="422"/>
      <c r="X96" s="447" t="b">
        <f t="shared" si="30"/>
        <v>0</v>
      </c>
      <c r="Y96" s="422"/>
      <c r="Z96" s="447" t="b">
        <f t="shared" si="32"/>
        <v>0</v>
      </c>
      <c r="AA96" s="422"/>
    </row>
    <row r="97" spans="1:27" s="521" customFormat="1" ht="12.75" customHeight="1">
      <c r="A97" s="4"/>
      <c r="B97" s="5"/>
      <c r="C97" s="29">
        <v>8</v>
      </c>
      <c r="D97" s="864"/>
      <c r="E97" s="874"/>
      <c r="F97" s="868"/>
      <c r="G97" s="346"/>
      <c r="H97" s="346"/>
      <c r="I97" s="346"/>
      <c r="J97" s="346"/>
      <c r="K97" s="346"/>
      <c r="L97" s="346"/>
      <c r="M97" s="346"/>
      <c r="N97" s="346"/>
      <c r="O97" s="322"/>
      <c r="P97" s="9"/>
      <c r="Q97" s="450" t="str">
        <f t="shared" si="29"/>
        <v>FInitial_2_</v>
      </c>
      <c r="R97" s="422"/>
      <c r="S97" s="422"/>
      <c r="T97" s="452">
        <f>IF(OR(D97="",COUNTIF($D$17:D97,D97)&gt;1),"",MAX($T$17:T96)+1)</f>
      </c>
      <c r="U97" s="422"/>
      <c r="V97" s="452">
        <f t="shared" si="31"/>
        <v>2</v>
      </c>
      <c r="W97" s="422"/>
      <c r="X97" s="447" t="b">
        <f t="shared" si="30"/>
        <v>0</v>
      </c>
      <c r="Y97" s="422"/>
      <c r="Z97" s="447" t="b">
        <f t="shared" si="32"/>
        <v>0</v>
      </c>
      <c r="AA97" s="422"/>
    </row>
    <row r="98" spans="1:27" s="521" customFormat="1" ht="12.75" customHeight="1">
      <c r="A98" s="4"/>
      <c r="B98" s="5"/>
      <c r="C98" s="29">
        <v>9</v>
      </c>
      <c r="D98" s="864"/>
      <c r="E98" s="874"/>
      <c r="F98" s="868"/>
      <c r="G98" s="346"/>
      <c r="H98" s="346"/>
      <c r="I98" s="346"/>
      <c r="J98" s="346"/>
      <c r="K98" s="346"/>
      <c r="L98" s="346"/>
      <c r="M98" s="346"/>
      <c r="N98" s="346"/>
      <c r="O98" s="322"/>
      <c r="P98" s="9"/>
      <c r="Q98" s="450" t="str">
        <f t="shared" si="29"/>
        <v>FInitial_2_</v>
      </c>
      <c r="R98" s="422"/>
      <c r="S98" s="422"/>
      <c r="T98" s="452">
        <f>IF(OR(D98="",COUNTIF($D$17:D98,D98)&gt;1),"",MAX($T$17:T97)+1)</f>
      </c>
      <c r="U98" s="422"/>
      <c r="V98" s="452">
        <f t="shared" si="31"/>
        <v>2</v>
      </c>
      <c r="W98" s="422"/>
      <c r="X98" s="447" t="b">
        <f t="shared" si="30"/>
        <v>0</v>
      </c>
      <c r="Y98" s="422"/>
      <c r="Z98" s="447" t="b">
        <f t="shared" si="32"/>
        <v>0</v>
      </c>
      <c r="AA98" s="422"/>
    </row>
    <row r="99" spans="1:27" s="521" customFormat="1" ht="12.75" customHeight="1" thickBot="1">
      <c r="A99" s="4"/>
      <c r="B99" s="5"/>
      <c r="C99" s="25">
        <v>10</v>
      </c>
      <c r="D99" s="881"/>
      <c r="E99" s="889"/>
      <c r="F99" s="883"/>
      <c r="G99" s="187"/>
      <c r="H99" s="187"/>
      <c r="I99" s="187"/>
      <c r="J99" s="187"/>
      <c r="K99" s="187"/>
      <c r="L99" s="187"/>
      <c r="M99" s="187"/>
      <c r="N99" s="187"/>
      <c r="O99" s="322"/>
      <c r="P99" s="9"/>
      <c r="Q99" s="450" t="str">
        <f t="shared" si="29"/>
        <v>FInitial_2_</v>
      </c>
      <c r="R99" s="422"/>
      <c r="S99" s="422"/>
      <c r="T99" s="453">
        <f>IF(OR(D99="",COUNTIF($D$17:D99,D99)&gt;1),"",MAX($T$17:T98)+1)</f>
      </c>
      <c r="U99" s="422"/>
      <c r="V99" s="452">
        <f t="shared" si="31"/>
        <v>2</v>
      </c>
      <c r="W99" s="422"/>
      <c r="X99" s="447" t="b">
        <f t="shared" si="30"/>
        <v>0</v>
      </c>
      <c r="Y99" s="422"/>
      <c r="Z99" s="447" t="b">
        <f t="shared" si="32"/>
        <v>0</v>
      </c>
      <c r="AA99" s="422"/>
    </row>
    <row r="100" spans="1:27" s="521" customFormat="1" ht="12.75" customHeight="1">
      <c r="A100" s="4"/>
      <c r="B100" s="5"/>
      <c r="C100" s="29">
        <v>11</v>
      </c>
      <c r="D100" s="936" t="str">
        <f aca="true" t="shared" si="33" ref="D100:D105">INDEX(EUconst_FallBackListNames,C100-10)</f>
        <v>Sottoimpianto oggetto di un parametro di riferimento relativo al calore, CL</v>
      </c>
      <c r="E100" s="937"/>
      <c r="F100" s="938"/>
      <c r="G100" s="347"/>
      <c r="H100" s="347"/>
      <c r="I100" s="347"/>
      <c r="J100" s="347"/>
      <c r="K100" s="347"/>
      <c r="L100" s="347"/>
      <c r="M100" s="347"/>
      <c r="N100" s="347"/>
      <c r="O100" s="322"/>
      <c r="P100" s="9"/>
      <c r="Q100" s="450" t="str">
        <f t="shared" si="29"/>
        <v>FInitial_2_Sottoimpianto oggetto di un parametro di riferimento relativo al calore, CL</v>
      </c>
      <c r="R100" s="422"/>
      <c r="S100" s="422"/>
      <c r="T100" s="422"/>
      <c r="U100" s="422"/>
      <c r="V100" s="452">
        <f t="shared" si="31"/>
        <v>2</v>
      </c>
      <c r="W100" s="422"/>
      <c r="X100" s="447" t="b">
        <f t="shared" si="30"/>
        <v>0</v>
      </c>
      <c r="Y100" s="422"/>
      <c r="Z100" s="447" t="b">
        <f t="shared" si="32"/>
        <v>0</v>
      </c>
      <c r="AA100" s="422"/>
    </row>
    <row r="101" spans="1:27" s="521" customFormat="1" ht="12.75" customHeight="1">
      <c r="A101" s="4"/>
      <c r="B101" s="5"/>
      <c r="C101" s="29">
        <v>12</v>
      </c>
      <c r="D101" s="947" t="str">
        <f t="shared" si="33"/>
        <v>Sottoimpianto oggetto di un parametro di riferimento relativo al calore, non CL</v>
      </c>
      <c r="E101" s="948"/>
      <c r="F101" s="949"/>
      <c r="G101" s="346"/>
      <c r="H101" s="346"/>
      <c r="I101" s="346"/>
      <c r="J101" s="346"/>
      <c r="K101" s="346"/>
      <c r="L101" s="346"/>
      <c r="M101" s="346"/>
      <c r="N101" s="346"/>
      <c r="O101" s="322"/>
      <c r="P101" s="9"/>
      <c r="Q101" s="450" t="str">
        <f t="shared" si="29"/>
        <v>FInitial_2_Sottoimpianto oggetto di un parametro di riferimento relativo al calore, non CL</v>
      </c>
      <c r="R101" s="422"/>
      <c r="S101" s="422"/>
      <c r="T101" s="422"/>
      <c r="U101" s="422"/>
      <c r="V101" s="452">
        <f t="shared" si="31"/>
        <v>2</v>
      </c>
      <c r="W101" s="422"/>
      <c r="X101" s="447" t="b">
        <f t="shared" si="30"/>
        <v>0</v>
      </c>
      <c r="Y101" s="422"/>
      <c r="Z101" s="447" t="b">
        <f t="shared" si="32"/>
        <v>0</v>
      </c>
      <c r="AA101" s="422"/>
    </row>
    <row r="102" spans="1:27" s="521" customFormat="1" ht="12.75" customHeight="1">
      <c r="A102" s="4"/>
      <c r="B102" s="5"/>
      <c r="C102" s="29">
        <v>13</v>
      </c>
      <c r="D102" s="947" t="str">
        <f t="shared" si="33"/>
        <v>Sottoimpianto oggetto di un parametro di riferimento relativo al combustibile, CL</v>
      </c>
      <c r="E102" s="948"/>
      <c r="F102" s="949"/>
      <c r="G102" s="346"/>
      <c r="H102" s="346"/>
      <c r="I102" s="346"/>
      <c r="J102" s="346"/>
      <c r="K102" s="346"/>
      <c r="L102" s="346"/>
      <c r="M102" s="346"/>
      <c r="N102" s="346"/>
      <c r="O102" s="322"/>
      <c r="P102" s="9"/>
      <c r="Q102" s="450" t="str">
        <f t="shared" si="29"/>
        <v>FInitial_2_Sottoimpianto oggetto di un parametro di riferimento relativo al combustibile, CL</v>
      </c>
      <c r="R102" s="422"/>
      <c r="S102" s="422"/>
      <c r="T102" s="422"/>
      <c r="U102" s="422"/>
      <c r="V102" s="452">
        <f t="shared" si="31"/>
        <v>2</v>
      </c>
      <c r="W102" s="422"/>
      <c r="X102" s="447" t="b">
        <f t="shared" si="30"/>
        <v>0</v>
      </c>
      <c r="Y102" s="422"/>
      <c r="Z102" s="447" t="b">
        <f t="shared" si="32"/>
        <v>0</v>
      </c>
      <c r="AA102" s="422"/>
    </row>
    <row r="103" spans="1:27" s="521" customFormat="1" ht="12.75" customHeight="1">
      <c r="A103" s="4"/>
      <c r="B103" s="5"/>
      <c r="C103" s="29">
        <v>14</v>
      </c>
      <c r="D103" s="947" t="str">
        <f t="shared" si="33"/>
        <v>Sottoimpianto oggetto di un parametro di riferimento relativo al combustibile, non CL</v>
      </c>
      <c r="E103" s="948"/>
      <c r="F103" s="949"/>
      <c r="G103" s="346"/>
      <c r="H103" s="346"/>
      <c r="I103" s="346"/>
      <c r="J103" s="346"/>
      <c r="K103" s="346"/>
      <c r="L103" s="346"/>
      <c r="M103" s="346"/>
      <c r="N103" s="346"/>
      <c r="O103" s="322"/>
      <c r="P103" s="9"/>
      <c r="Q103" s="450" t="str">
        <f t="shared" si="29"/>
        <v>FInitial_2_Sottoimpianto oggetto di un parametro di riferimento relativo al combustibile, non CL</v>
      </c>
      <c r="R103" s="422"/>
      <c r="S103" s="422"/>
      <c r="T103" s="422"/>
      <c r="U103" s="422"/>
      <c r="V103" s="452">
        <f t="shared" si="31"/>
        <v>2</v>
      </c>
      <c r="W103" s="422"/>
      <c r="X103" s="447" t="b">
        <f t="shared" si="30"/>
        <v>0</v>
      </c>
      <c r="Y103" s="422"/>
      <c r="Z103" s="447" t="b">
        <f t="shared" si="32"/>
        <v>0</v>
      </c>
      <c r="AA103" s="422"/>
    </row>
    <row r="104" spans="1:27" s="521" customFormat="1" ht="12.75" customHeight="1">
      <c r="A104" s="4"/>
      <c r="B104" s="5"/>
      <c r="C104" s="29">
        <v>15</v>
      </c>
      <c r="D104" s="947" t="str">
        <f t="shared" si="33"/>
        <v>Sottoimpianto con emissioni di processo, CL</v>
      </c>
      <c r="E104" s="948"/>
      <c r="F104" s="949"/>
      <c r="G104" s="346"/>
      <c r="H104" s="346"/>
      <c r="I104" s="346"/>
      <c r="J104" s="346"/>
      <c r="K104" s="346"/>
      <c r="L104" s="346"/>
      <c r="M104" s="346"/>
      <c r="N104" s="346"/>
      <c r="O104" s="322"/>
      <c r="P104" s="9"/>
      <c r="Q104" s="450" t="str">
        <f t="shared" si="29"/>
        <v>FInitial_2_Sottoimpianto con emissioni di processo, CL</v>
      </c>
      <c r="R104" s="422"/>
      <c r="S104" s="422"/>
      <c r="T104" s="422"/>
      <c r="U104" s="422"/>
      <c r="V104" s="452">
        <f t="shared" si="31"/>
        <v>2</v>
      </c>
      <c r="W104" s="422"/>
      <c r="X104" s="447" t="b">
        <f t="shared" si="30"/>
        <v>0</v>
      </c>
      <c r="Y104" s="422"/>
      <c r="Z104" s="447" t="b">
        <f t="shared" si="32"/>
        <v>0</v>
      </c>
      <c r="AA104" s="422"/>
    </row>
    <row r="105" spans="1:27" s="521" customFormat="1" ht="12.75" customHeight="1">
      <c r="A105" s="4"/>
      <c r="B105" s="5"/>
      <c r="C105" s="29">
        <v>16</v>
      </c>
      <c r="D105" s="950" t="str">
        <f t="shared" si="33"/>
        <v>Sottoimpianto con emissioni di processo, non CL</v>
      </c>
      <c r="E105" s="951"/>
      <c r="F105" s="952"/>
      <c r="G105" s="372"/>
      <c r="H105" s="372"/>
      <c r="I105" s="372"/>
      <c r="J105" s="372"/>
      <c r="K105" s="372"/>
      <c r="L105" s="372"/>
      <c r="M105" s="372"/>
      <c r="N105" s="372"/>
      <c r="O105" s="322"/>
      <c r="P105" s="9"/>
      <c r="Q105" s="450" t="str">
        <f t="shared" si="29"/>
        <v>FInitial_2_Sottoimpianto con emissioni di processo, non CL</v>
      </c>
      <c r="R105" s="422"/>
      <c r="S105" s="422"/>
      <c r="T105" s="422"/>
      <c r="U105" s="422"/>
      <c r="V105" s="452">
        <f t="shared" si="31"/>
        <v>2</v>
      </c>
      <c r="W105" s="422"/>
      <c r="X105" s="447" t="b">
        <f t="shared" si="30"/>
        <v>0</v>
      </c>
      <c r="Y105" s="422"/>
      <c r="Z105" s="447" t="b">
        <f t="shared" si="32"/>
        <v>0</v>
      </c>
      <c r="AA105" s="422"/>
    </row>
    <row r="106" spans="1:27" s="521" customFormat="1" ht="12.75" customHeight="1" thickBot="1">
      <c r="A106" s="4"/>
      <c r="B106" s="5"/>
      <c r="C106" s="412">
        <v>17</v>
      </c>
      <c r="D106" s="939" t="str">
        <f>EUconst_PrivateHouseholds</f>
        <v>Utenze private</v>
      </c>
      <c r="E106" s="940"/>
      <c r="F106" s="941"/>
      <c r="G106" s="414"/>
      <c r="H106" s="414"/>
      <c r="I106" s="414"/>
      <c r="J106" s="414"/>
      <c r="K106" s="414"/>
      <c r="L106" s="414"/>
      <c r="M106" s="414"/>
      <c r="N106" s="414"/>
      <c r="O106" s="322"/>
      <c r="P106" s="9"/>
      <c r="Q106" s="450" t="str">
        <f t="shared" si="29"/>
        <v>FInitial_2_Utenze private</v>
      </c>
      <c r="R106" s="422"/>
      <c r="S106" s="422"/>
      <c r="T106" s="422"/>
      <c r="U106" s="422"/>
      <c r="V106" s="453">
        <f t="shared" si="31"/>
        <v>2</v>
      </c>
      <c r="W106" s="422"/>
      <c r="X106" s="447" t="b">
        <f t="shared" si="30"/>
        <v>0</v>
      </c>
      <c r="Y106" s="422"/>
      <c r="Z106" s="447" t="b">
        <f t="shared" si="32"/>
        <v>0</v>
      </c>
      <c r="AA106" s="422"/>
    </row>
    <row r="107" spans="1:27" s="521" customFormat="1" ht="12.75" customHeight="1">
      <c r="A107" s="4"/>
      <c r="B107" s="5"/>
      <c r="C107" s="18"/>
      <c r="D107" s="942" t="str">
        <f>EUconst_TotFreeAlloc</f>
        <v>Assegnazione totale finale a titolo gratuito</v>
      </c>
      <c r="E107" s="943"/>
      <c r="F107" s="944"/>
      <c r="G107" s="212">
        <f aca="true" t="shared" si="34" ref="G107:N107">IF(COUNT(G89:G106)&gt;0,SUM(G89:G106),"")</f>
      </c>
      <c r="H107" s="212">
        <f t="shared" si="34"/>
      </c>
      <c r="I107" s="212">
        <f t="shared" si="34"/>
      </c>
      <c r="J107" s="212">
        <f t="shared" si="34"/>
      </c>
      <c r="K107" s="212">
        <f t="shared" si="34"/>
      </c>
      <c r="L107" s="212">
        <f t="shared" si="34"/>
      </c>
      <c r="M107" s="212">
        <f t="shared" si="34"/>
      </c>
      <c r="N107" s="212">
        <f t="shared" si="34"/>
      </c>
      <c r="O107" s="322"/>
      <c r="P107" s="9"/>
      <c r="Q107" s="440"/>
      <c r="R107" s="422"/>
      <c r="S107" s="422"/>
      <c r="T107" s="422"/>
      <c r="U107" s="422"/>
      <c r="V107" s="422"/>
      <c r="W107" s="422"/>
      <c r="X107" s="422"/>
      <c r="Y107" s="422"/>
      <c r="Z107" s="447" t="b">
        <f t="shared" si="32"/>
        <v>0</v>
      </c>
      <c r="AA107" s="422"/>
    </row>
    <row r="108" spans="1:27" s="521" customFormat="1" ht="12.75" customHeight="1">
      <c r="A108" s="4"/>
      <c r="B108" s="5"/>
      <c r="C108" s="7"/>
      <c r="D108" s="5"/>
      <c r="E108" s="5"/>
      <c r="F108" s="5"/>
      <c r="G108" s="5"/>
      <c r="H108" s="5"/>
      <c r="I108" s="5"/>
      <c r="J108" s="5"/>
      <c r="K108" s="5"/>
      <c r="L108" s="5"/>
      <c r="M108" s="9"/>
      <c r="N108" s="9"/>
      <c r="O108" s="314"/>
      <c r="P108" s="9"/>
      <c r="Q108" s="440"/>
      <c r="R108" s="422"/>
      <c r="S108" s="422"/>
      <c r="T108" s="422"/>
      <c r="U108" s="422"/>
      <c r="V108" s="422"/>
      <c r="W108" s="422"/>
      <c r="X108" s="422"/>
      <c r="Y108" s="422"/>
      <c r="Z108" s="422"/>
      <c r="AA108" s="422"/>
    </row>
    <row r="109" spans="1:27" s="521" customFormat="1" ht="12.75" customHeight="1">
      <c r="A109" s="4"/>
      <c r="B109" s="5"/>
      <c r="C109" s="5"/>
      <c r="D109" s="193" t="s">
        <v>249</v>
      </c>
      <c r="E109" s="728" t="str">
        <f>Translations!$B$1553</f>
        <v>Assegnazione definitiva più recente con fattori di adeguamento per eventuali cessazioni parziali</v>
      </c>
      <c r="F109" s="724"/>
      <c r="G109" s="724"/>
      <c r="H109" s="724"/>
      <c r="I109" s="724"/>
      <c r="J109" s="724"/>
      <c r="K109" s="724"/>
      <c r="L109" s="724"/>
      <c r="M109" s="724"/>
      <c r="N109" s="724"/>
      <c r="O109" s="316"/>
      <c r="P109" s="377"/>
      <c r="Q109" s="440"/>
      <c r="R109" s="422"/>
      <c r="S109" s="422"/>
      <c r="T109" s="422"/>
      <c r="U109" s="422"/>
      <c r="V109" s="422"/>
      <c r="W109" s="422"/>
      <c r="X109" s="422"/>
      <c r="Y109" s="422"/>
      <c r="Z109" s="422"/>
      <c r="AA109" s="422"/>
    </row>
    <row r="110" spans="1:27" s="521" customFormat="1" ht="4.5" customHeight="1">
      <c r="A110" s="4"/>
      <c r="B110" s="5"/>
      <c r="C110" s="5"/>
      <c r="D110" s="5"/>
      <c r="E110" s="5"/>
      <c r="F110" s="5"/>
      <c r="G110" s="5"/>
      <c r="H110" s="5"/>
      <c r="I110" s="5"/>
      <c r="J110" s="5"/>
      <c r="K110" s="5"/>
      <c r="L110" s="5"/>
      <c r="M110" s="9"/>
      <c r="N110" s="9"/>
      <c r="O110" s="322"/>
      <c r="P110" s="9"/>
      <c r="Q110" s="440"/>
      <c r="R110" s="440"/>
      <c r="S110" s="440"/>
      <c r="T110" s="440"/>
      <c r="U110" s="440"/>
      <c r="V110" s="440"/>
      <c r="W110" s="440"/>
      <c r="X110" s="440"/>
      <c r="Y110" s="422"/>
      <c r="Z110" s="422"/>
      <c r="AA110" s="422"/>
    </row>
    <row r="111" spans="1:27" s="521" customFormat="1" ht="12.75" customHeight="1">
      <c r="A111" s="4"/>
      <c r="B111" s="5"/>
      <c r="C111" s="20"/>
      <c r="D111" s="791" t="str">
        <f>Translations!$B$440</f>
        <v>Sottoimpianto</v>
      </c>
      <c r="E111" s="867"/>
      <c r="F111" s="963"/>
      <c r="G111" s="211">
        <v>2013</v>
      </c>
      <c r="H111" s="211">
        <v>2014</v>
      </c>
      <c r="I111" s="211">
        <v>2015</v>
      </c>
      <c r="J111" s="211">
        <v>2016</v>
      </c>
      <c r="K111" s="211">
        <v>2017</v>
      </c>
      <c r="L111" s="211">
        <v>2018</v>
      </c>
      <c r="M111" s="211">
        <v>2019</v>
      </c>
      <c r="N111" s="211">
        <v>2020</v>
      </c>
      <c r="O111" s="322"/>
      <c r="P111" s="320"/>
      <c r="Q111" s="440"/>
      <c r="R111" s="422"/>
      <c r="S111" s="422"/>
      <c r="T111" s="422"/>
      <c r="U111" s="119" t="s">
        <v>535</v>
      </c>
      <c r="V111" s="119" t="s">
        <v>532</v>
      </c>
      <c r="W111" s="10" t="s">
        <v>536</v>
      </c>
      <c r="X111" s="440" t="s">
        <v>568</v>
      </c>
      <c r="Y111" s="440" t="str">
        <f>EUconst_Unit</f>
        <v>Unità</v>
      </c>
      <c r="Z111" s="446" t="s">
        <v>299</v>
      </c>
      <c r="AA111" s="422"/>
    </row>
    <row r="112" spans="1:27" s="521" customFormat="1" ht="12.75" customHeight="1" thickBot="1">
      <c r="A112" s="4"/>
      <c r="B112" s="5"/>
      <c r="C112" s="210">
        <v>0</v>
      </c>
      <c r="D112" s="939" t="str">
        <f>Translations!$B$1447</f>
        <v>Fase prima dell'avvio</v>
      </c>
      <c r="E112" s="940"/>
      <c r="F112" s="941"/>
      <c r="G112" s="513"/>
      <c r="H112" s="513"/>
      <c r="I112" s="513"/>
      <c r="J112" s="513"/>
      <c r="K112" s="513"/>
      <c r="L112" s="513"/>
      <c r="M112" s="513"/>
      <c r="N112" s="513"/>
      <c r="O112" s="322"/>
      <c r="P112" s="320"/>
      <c r="Q112" s="440"/>
      <c r="R112" s="422"/>
      <c r="S112" s="422"/>
      <c r="T112" s="422"/>
      <c r="U112" s="450">
        <f>""</f>
      </c>
      <c r="V112" s="450"/>
      <c r="W112" s="450"/>
      <c r="X112" s="450"/>
      <c r="Y112" s="450"/>
      <c r="Z112" s="447" t="b">
        <f>Z107</f>
        <v>0</v>
      </c>
      <c r="AA112" s="422"/>
    </row>
    <row r="113" spans="1:27" s="521" customFormat="1" ht="12.75" customHeight="1">
      <c r="A113" s="4"/>
      <c r="B113" s="5"/>
      <c r="C113" s="29">
        <v>1</v>
      </c>
      <c r="D113" s="930">
        <f aca="true" t="shared" si="35" ref="D113:D122">IF(D90="","",D90)</f>
      </c>
      <c r="E113" s="931"/>
      <c r="F113" s="932"/>
      <c r="G113" s="347"/>
      <c r="H113" s="347"/>
      <c r="I113" s="347"/>
      <c r="J113" s="347"/>
      <c r="K113" s="347"/>
      <c r="L113" s="347"/>
      <c r="M113" s="347"/>
      <c r="N113" s="347"/>
      <c r="O113" s="322"/>
      <c r="P113" s="320"/>
      <c r="Q113" s="440"/>
      <c r="R113" s="422"/>
      <c r="S113" s="422"/>
      <c r="T113" s="422"/>
      <c r="U113" s="450">
        <f aca="true" t="shared" si="36" ref="U113:U122">IF(D113="","",INDEX(EUconst_BMlistCLstatus,MATCH(D113,EUconst_BMlistNames,0)))</f>
      </c>
      <c r="V113" s="450">
        <f aca="true" t="shared" si="37" ref="V113:V122">IF(D113="","",INDEX(EUconst_BMlistNumberOfBM,MATCH(D113,EUconst_BMlistNames,0)))</f>
      </c>
      <c r="W113" s="450">
        <f aca="true" t="shared" si="38" ref="W113:W122">IF(D113="","",INDEX(EUconst_BMlistBMvalues,MATCH(D113,EUconst_BMlistNames,0)))</f>
      </c>
      <c r="X113" s="450">
        <f aca="true" t="shared" si="39" ref="X113:X128">IF(D113="","",EUconst_EUA&amp;" / "&amp;Y113)</f>
      </c>
      <c r="Y113" s="450">
        <f aca="true" t="shared" si="40" ref="Y113:Y122">IF(D113="","",INDEX(EUconst_BMlistUnits,MATCH(D113,EUconst_BMlistNames,0)))</f>
      </c>
      <c r="Z113" s="447" t="b">
        <f aca="true" t="shared" si="41" ref="Z113:Z130">Z112</f>
        <v>0</v>
      </c>
      <c r="AA113" s="422"/>
    </row>
    <row r="114" spans="1:27" s="521" customFormat="1" ht="12.75" customHeight="1">
      <c r="A114" s="4"/>
      <c r="B114" s="5"/>
      <c r="C114" s="29">
        <v>2</v>
      </c>
      <c r="D114" s="933">
        <f t="shared" si="35"/>
      </c>
      <c r="E114" s="934"/>
      <c r="F114" s="935"/>
      <c r="G114" s="346"/>
      <c r="H114" s="346"/>
      <c r="I114" s="346"/>
      <c r="J114" s="346"/>
      <c r="K114" s="346"/>
      <c r="L114" s="346"/>
      <c r="M114" s="346"/>
      <c r="N114" s="346"/>
      <c r="O114" s="322"/>
      <c r="P114" s="320"/>
      <c r="Q114" s="440"/>
      <c r="R114" s="422"/>
      <c r="S114" s="422"/>
      <c r="T114" s="422"/>
      <c r="U114" s="450">
        <f t="shared" si="36"/>
      </c>
      <c r="V114" s="450">
        <f t="shared" si="37"/>
      </c>
      <c r="W114" s="450">
        <f t="shared" si="38"/>
      </c>
      <c r="X114" s="450">
        <f t="shared" si="39"/>
      </c>
      <c r="Y114" s="450">
        <f t="shared" si="40"/>
      </c>
      <c r="Z114" s="447" t="b">
        <f t="shared" si="41"/>
        <v>0</v>
      </c>
      <c r="AA114" s="422"/>
    </row>
    <row r="115" spans="1:27" s="521" customFormat="1" ht="12.75" customHeight="1">
      <c r="A115" s="4"/>
      <c r="B115" s="5"/>
      <c r="C115" s="29">
        <v>3</v>
      </c>
      <c r="D115" s="933">
        <f t="shared" si="35"/>
      </c>
      <c r="E115" s="934"/>
      <c r="F115" s="935"/>
      <c r="G115" s="346"/>
      <c r="H115" s="346"/>
      <c r="I115" s="346"/>
      <c r="J115" s="346"/>
      <c r="K115" s="346"/>
      <c r="L115" s="346"/>
      <c r="M115" s="346"/>
      <c r="N115" s="346"/>
      <c r="O115" s="322"/>
      <c r="P115" s="320"/>
      <c r="Q115" s="440"/>
      <c r="R115" s="422"/>
      <c r="S115" s="422"/>
      <c r="T115" s="422"/>
      <c r="U115" s="450">
        <f t="shared" si="36"/>
      </c>
      <c r="V115" s="450">
        <f t="shared" si="37"/>
      </c>
      <c r="W115" s="450">
        <f t="shared" si="38"/>
      </c>
      <c r="X115" s="450">
        <f t="shared" si="39"/>
      </c>
      <c r="Y115" s="450">
        <f t="shared" si="40"/>
      </c>
      <c r="Z115" s="447" t="b">
        <f t="shared" si="41"/>
        <v>0</v>
      </c>
      <c r="AA115" s="422"/>
    </row>
    <row r="116" spans="1:27" s="521" customFormat="1" ht="12.75" customHeight="1">
      <c r="A116" s="4"/>
      <c r="B116" s="5"/>
      <c r="C116" s="29">
        <v>4</v>
      </c>
      <c r="D116" s="933">
        <f t="shared" si="35"/>
      </c>
      <c r="E116" s="934"/>
      <c r="F116" s="935"/>
      <c r="G116" s="346"/>
      <c r="H116" s="346"/>
      <c r="I116" s="346"/>
      <c r="J116" s="346"/>
      <c r="K116" s="346"/>
      <c r="L116" s="346"/>
      <c r="M116" s="346"/>
      <c r="N116" s="346"/>
      <c r="O116" s="322"/>
      <c r="P116" s="320"/>
      <c r="Q116" s="440"/>
      <c r="R116" s="422"/>
      <c r="S116" s="422"/>
      <c r="T116" s="422"/>
      <c r="U116" s="450">
        <f t="shared" si="36"/>
      </c>
      <c r="V116" s="450">
        <f t="shared" si="37"/>
      </c>
      <c r="W116" s="450">
        <f t="shared" si="38"/>
      </c>
      <c r="X116" s="450">
        <f t="shared" si="39"/>
      </c>
      <c r="Y116" s="450">
        <f t="shared" si="40"/>
      </c>
      <c r="Z116" s="447" t="b">
        <f t="shared" si="41"/>
        <v>0</v>
      </c>
      <c r="AA116" s="422"/>
    </row>
    <row r="117" spans="1:27" s="521" customFormat="1" ht="12.75" customHeight="1">
      <c r="A117" s="4"/>
      <c r="B117" s="5"/>
      <c r="C117" s="29">
        <v>5</v>
      </c>
      <c r="D117" s="933">
        <f t="shared" si="35"/>
      </c>
      <c r="E117" s="934"/>
      <c r="F117" s="935"/>
      <c r="G117" s="346"/>
      <c r="H117" s="346"/>
      <c r="I117" s="346"/>
      <c r="J117" s="346"/>
      <c r="K117" s="346"/>
      <c r="L117" s="346"/>
      <c r="M117" s="346"/>
      <c r="N117" s="346"/>
      <c r="O117" s="322"/>
      <c r="P117" s="320"/>
      <c r="Q117" s="440"/>
      <c r="R117" s="422"/>
      <c r="S117" s="422"/>
      <c r="T117" s="422"/>
      <c r="U117" s="450">
        <f t="shared" si="36"/>
      </c>
      <c r="V117" s="450">
        <f t="shared" si="37"/>
      </c>
      <c r="W117" s="450">
        <f t="shared" si="38"/>
      </c>
      <c r="X117" s="450">
        <f t="shared" si="39"/>
      </c>
      <c r="Y117" s="450">
        <f t="shared" si="40"/>
      </c>
      <c r="Z117" s="447" t="b">
        <f t="shared" si="41"/>
        <v>0</v>
      </c>
      <c r="AA117" s="422"/>
    </row>
    <row r="118" spans="1:27" s="521" customFormat="1" ht="12.75" customHeight="1">
      <c r="A118" s="4"/>
      <c r="B118" s="5"/>
      <c r="C118" s="29">
        <v>6</v>
      </c>
      <c r="D118" s="933">
        <f t="shared" si="35"/>
      </c>
      <c r="E118" s="934"/>
      <c r="F118" s="935"/>
      <c r="G118" s="346"/>
      <c r="H118" s="346"/>
      <c r="I118" s="346"/>
      <c r="J118" s="346"/>
      <c r="K118" s="346"/>
      <c r="L118" s="346"/>
      <c r="M118" s="346"/>
      <c r="N118" s="346"/>
      <c r="O118" s="322"/>
      <c r="P118" s="9"/>
      <c r="Q118" s="440"/>
      <c r="R118" s="422"/>
      <c r="S118" s="422"/>
      <c r="T118" s="422"/>
      <c r="U118" s="450">
        <f t="shared" si="36"/>
      </c>
      <c r="V118" s="450">
        <f t="shared" si="37"/>
      </c>
      <c r="W118" s="450">
        <f t="shared" si="38"/>
      </c>
      <c r="X118" s="450">
        <f t="shared" si="39"/>
      </c>
      <c r="Y118" s="450">
        <f t="shared" si="40"/>
      </c>
      <c r="Z118" s="447" t="b">
        <f t="shared" si="41"/>
        <v>0</v>
      </c>
      <c r="AA118" s="422"/>
    </row>
    <row r="119" spans="1:27" s="521" customFormat="1" ht="12.75" customHeight="1">
      <c r="A119" s="4"/>
      <c r="B119" s="5"/>
      <c r="C119" s="29">
        <v>7</v>
      </c>
      <c r="D119" s="933">
        <f t="shared" si="35"/>
      </c>
      <c r="E119" s="934"/>
      <c r="F119" s="935"/>
      <c r="G119" s="346"/>
      <c r="H119" s="346"/>
      <c r="I119" s="346"/>
      <c r="J119" s="346"/>
      <c r="K119" s="346"/>
      <c r="L119" s="346"/>
      <c r="M119" s="346"/>
      <c r="N119" s="346"/>
      <c r="O119" s="322"/>
      <c r="P119" s="9"/>
      <c r="Q119" s="440"/>
      <c r="R119" s="422"/>
      <c r="S119" s="422"/>
      <c r="T119" s="422"/>
      <c r="U119" s="450">
        <f t="shared" si="36"/>
      </c>
      <c r="V119" s="450">
        <f t="shared" si="37"/>
      </c>
      <c r="W119" s="450">
        <f t="shared" si="38"/>
      </c>
      <c r="X119" s="450">
        <f t="shared" si="39"/>
      </c>
      <c r="Y119" s="450">
        <f t="shared" si="40"/>
      </c>
      <c r="Z119" s="447" t="b">
        <f t="shared" si="41"/>
        <v>0</v>
      </c>
      <c r="AA119" s="422"/>
    </row>
    <row r="120" spans="1:27" s="521" customFormat="1" ht="12.75" customHeight="1">
      <c r="A120" s="4"/>
      <c r="B120" s="5"/>
      <c r="C120" s="29">
        <v>8</v>
      </c>
      <c r="D120" s="933">
        <f t="shared" si="35"/>
      </c>
      <c r="E120" s="934"/>
      <c r="F120" s="935"/>
      <c r="G120" s="346"/>
      <c r="H120" s="346"/>
      <c r="I120" s="346"/>
      <c r="J120" s="346"/>
      <c r="K120" s="346"/>
      <c r="L120" s="346"/>
      <c r="M120" s="346"/>
      <c r="N120" s="346"/>
      <c r="O120" s="322"/>
      <c r="P120" s="9"/>
      <c r="Q120" s="440"/>
      <c r="R120" s="422"/>
      <c r="S120" s="422"/>
      <c r="T120" s="422"/>
      <c r="U120" s="450">
        <f t="shared" si="36"/>
      </c>
      <c r="V120" s="450">
        <f t="shared" si="37"/>
      </c>
      <c r="W120" s="450">
        <f t="shared" si="38"/>
      </c>
      <c r="X120" s="450">
        <f t="shared" si="39"/>
      </c>
      <c r="Y120" s="450">
        <f t="shared" si="40"/>
      </c>
      <c r="Z120" s="447" t="b">
        <f t="shared" si="41"/>
        <v>0</v>
      </c>
      <c r="AA120" s="422"/>
    </row>
    <row r="121" spans="1:27" s="521" customFormat="1" ht="12.75" customHeight="1">
      <c r="A121" s="4"/>
      <c r="B121" s="5"/>
      <c r="C121" s="29">
        <v>9</v>
      </c>
      <c r="D121" s="933">
        <f t="shared" si="35"/>
      </c>
      <c r="E121" s="934"/>
      <c r="F121" s="935"/>
      <c r="G121" s="346"/>
      <c r="H121" s="346"/>
      <c r="I121" s="346"/>
      <c r="J121" s="346"/>
      <c r="K121" s="346"/>
      <c r="L121" s="346"/>
      <c r="M121" s="346"/>
      <c r="N121" s="346"/>
      <c r="O121" s="322"/>
      <c r="P121" s="9"/>
      <c r="Q121" s="440"/>
      <c r="R121" s="422"/>
      <c r="S121" s="422"/>
      <c r="T121" s="422"/>
      <c r="U121" s="450">
        <f t="shared" si="36"/>
      </c>
      <c r="V121" s="450">
        <f t="shared" si="37"/>
      </c>
      <c r="W121" s="450">
        <f t="shared" si="38"/>
      </c>
      <c r="X121" s="450">
        <f t="shared" si="39"/>
      </c>
      <c r="Y121" s="450">
        <f t="shared" si="40"/>
      </c>
      <c r="Z121" s="447" t="b">
        <f t="shared" si="41"/>
        <v>0</v>
      </c>
      <c r="AA121" s="422"/>
    </row>
    <row r="122" spans="1:27" s="521" customFormat="1" ht="12.75" customHeight="1">
      <c r="A122" s="4"/>
      <c r="B122" s="5"/>
      <c r="C122" s="25">
        <v>10</v>
      </c>
      <c r="D122" s="953">
        <f t="shared" si="35"/>
      </c>
      <c r="E122" s="954"/>
      <c r="F122" s="955"/>
      <c r="G122" s="187"/>
      <c r="H122" s="187"/>
      <c r="I122" s="187"/>
      <c r="J122" s="187"/>
      <c r="K122" s="187"/>
      <c r="L122" s="187"/>
      <c r="M122" s="187"/>
      <c r="N122" s="187"/>
      <c r="O122" s="322"/>
      <c r="P122" s="9"/>
      <c r="Q122" s="440"/>
      <c r="R122" s="422"/>
      <c r="S122" s="422"/>
      <c r="T122" s="422"/>
      <c r="U122" s="450">
        <f t="shared" si="36"/>
      </c>
      <c r="V122" s="450">
        <f t="shared" si="37"/>
      </c>
      <c r="W122" s="450">
        <f t="shared" si="38"/>
      </c>
      <c r="X122" s="450">
        <f t="shared" si="39"/>
      </c>
      <c r="Y122" s="450">
        <f t="shared" si="40"/>
      </c>
      <c r="Z122" s="447" t="b">
        <f t="shared" si="41"/>
        <v>0</v>
      </c>
      <c r="AA122" s="422"/>
    </row>
    <row r="123" spans="1:27" s="521" customFormat="1" ht="12.75" customHeight="1">
      <c r="A123" s="4"/>
      <c r="B123" s="5"/>
      <c r="C123" s="29">
        <v>11</v>
      </c>
      <c r="D123" s="936" t="str">
        <f aca="true" t="shared" si="42" ref="D123:D128">INDEX(EUconst_FallBackListNames,C123-10)</f>
        <v>Sottoimpianto oggetto di un parametro di riferimento relativo al calore, CL</v>
      </c>
      <c r="E123" s="937"/>
      <c r="F123" s="938"/>
      <c r="G123" s="347"/>
      <c r="H123" s="347"/>
      <c r="I123" s="347"/>
      <c r="J123" s="347"/>
      <c r="K123" s="347"/>
      <c r="L123" s="347"/>
      <c r="M123" s="347"/>
      <c r="N123" s="347"/>
      <c r="O123" s="322"/>
      <c r="P123" s="9"/>
      <c r="Q123" s="440"/>
      <c r="R123" s="422"/>
      <c r="S123" s="422"/>
      <c r="T123" s="422"/>
      <c r="U123" s="450" t="b">
        <v>1</v>
      </c>
      <c r="V123" s="450">
        <f>EUwideConstants!$C$304</f>
        <v>91</v>
      </c>
      <c r="W123" s="450">
        <f>EUwideConstants!$H$304</f>
        <v>62.3</v>
      </c>
      <c r="X123" s="450" t="str">
        <f t="shared" si="39"/>
        <v>EUA / TJ</v>
      </c>
      <c r="Y123" s="450" t="str">
        <f>EUconst_TJ</f>
        <v>TJ</v>
      </c>
      <c r="Z123" s="447" t="b">
        <f t="shared" si="41"/>
        <v>0</v>
      </c>
      <c r="AA123" s="422"/>
    </row>
    <row r="124" spans="1:27" s="521" customFormat="1" ht="12.75" customHeight="1">
      <c r="A124" s="4"/>
      <c r="B124" s="5"/>
      <c r="C124" s="29">
        <v>12</v>
      </c>
      <c r="D124" s="947" t="str">
        <f t="shared" si="42"/>
        <v>Sottoimpianto oggetto di un parametro di riferimento relativo al calore, non CL</v>
      </c>
      <c r="E124" s="948"/>
      <c r="F124" s="949"/>
      <c r="G124" s="346"/>
      <c r="H124" s="346"/>
      <c r="I124" s="346"/>
      <c r="J124" s="346"/>
      <c r="K124" s="346"/>
      <c r="L124" s="346"/>
      <c r="M124" s="346"/>
      <c r="N124" s="346"/>
      <c r="O124" s="322"/>
      <c r="P124" s="9"/>
      <c r="Q124" s="440"/>
      <c r="R124" s="422"/>
      <c r="S124" s="422"/>
      <c r="T124" s="422"/>
      <c r="U124" s="450" t="b">
        <v>0</v>
      </c>
      <c r="V124" s="450">
        <f>EUwideConstants!$C$305</f>
        <v>92</v>
      </c>
      <c r="W124" s="450">
        <f>EUwideConstants!$H$305</f>
        <v>62.3</v>
      </c>
      <c r="X124" s="450" t="str">
        <f t="shared" si="39"/>
        <v>EUA / TJ</v>
      </c>
      <c r="Y124" s="450" t="str">
        <f>EUconst_TJ</f>
        <v>TJ</v>
      </c>
      <c r="Z124" s="447" t="b">
        <f t="shared" si="41"/>
        <v>0</v>
      </c>
      <c r="AA124" s="422"/>
    </row>
    <row r="125" spans="1:27" s="521" customFormat="1" ht="12.75" customHeight="1">
      <c r="A125" s="4"/>
      <c r="B125" s="5"/>
      <c r="C125" s="29">
        <v>13</v>
      </c>
      <c r="D125" s="947" t="str">
        <f t="shared" si="42"/>
        <v>Sottoimpianto oggetto di un parametro di riferimento relativo al combustibile, CL</v>
      </c>
      <c r="E125" s="948"/>
      <c r="F125" s="949"/>
      <c r="G125" s="346"/>
      <c r="H125" s="346"/>
      <c r="I125" s="346"/>
      <c r="J125" s="346"/>
      <c r="K125" s="346"/>
      <c r="L125" s="346"/>
      <c r="M125" s="346"/>
      <c r="N125" s="346"/>
      <c r="O125" s="322"/>
      <c r="P125" s="9"/>
      <c r="Q125" s="440"/>
      <c r="R125" s="422"/>
      <c r="S125" s="422"/>
      <c r="T125" s="422"/>
      <c r="U125" s="450" t="b">
        <v>1</v>
      </c>
      <c r="V125" s="450">
        <f>EUwideConstants!$C$306</f>
        <v>93</v>
      </c>
      <c r="W125" s="450">
        <f>EUwideConstants!$H$306</f>
        <v>56.1</v>
      </c>
      <c r="X125" s="450" t="str">
        <f t="shared" si="39"/>
        <v>EUA / TJ</v>
      </c>
      <c r="Y125" s="450" t="str">
        <f>EUconst_TJ</f>
        <v>TJ</v>
      </c>
      <c r="Z125" s="447" t="b">
        <f t="shared" si="41"/>
        <v>0</v>
      </c>
      <c r="AA125" s="422"/>
    </row>
    <row r="126" spans="1:27" s="521" customFormat="1" ht="12.75" customHeight="1">
      <c r="A126" s="4"/>
      <c r="B126" s="5"/>
      <c r="C126" s="29">
        <v>14</v>
      </c>
      <c r="D126" s="947" t="str">
        <f t="shared" si="42"/>
        <v>Sottoimpianto oggetto di un parametro di riferimento relativo al combustibile, non CL</v>
      </c>
      <c r="E126" s="948"/>
      <c r="F126" s="949"/>
      <c r="G126" s="346"/>
      <c r="H126" s="346"/>
      <c r="I126" s="346"/>
      <c r="J126" s="346"/>
      <c r="K126" s="346"/>
      <c r="L126" s="346"/>
      <c r="M126" s="346"/>
      <c r="N126" s="346"/>
      <c r="O126" s="322"/>
      <c r="P126" s="9"/>
      <c r="Q126" s="440"/>
      <c r="R126" s="422"/>
      <c r="S126" s="422"/>
      <c r="T126" s="422"/>
      <c r="U126" s="450" t="b">
        <v>0</v>
      </c>
      <c r="V126" s="450">
        <f>EUwideConstants!$C$307</f>
        <v>94</v>
      </c>
      <c r="W126" s="450">
        <f>EUwideConstants!$H$307</f>
        <v>56.1</v>
      </c>
      <c r="X126" s="450" t="str">
        <f t="shared" si="39"/>
        <v>EUA / TJ</v>
      </c>
      <c r="Y126" s="450" t="str">
        <f>EUconst_TJ</f>
        <v>TJ</v>
      </c>
      <c r="Z126" s="447" t="b">
        <f t="shared" si="41"/>
        <v>0</v>
      </c>
      <c r="AA126" s="422"/>
    </row>
    <row r="127" spans="1:27" s="521" customFormat="1" ht="12.75" customHeight="1">
      <c r="A127" s="4"/>
      <c r="B127" s="5"/>
      <c r="C127" s="29">
        <v>15</v>
      </c>
      <c r="D127" s="947" t="str">
        <f t="shared" si="42"/>
        <v>Sottoimpianto con emissioni di processo, CL</v>
      </c>
      <c r="E127" s="948"/>
      <c r="F127" s="949"/>
      <c r="G127" s="346"/>
      <c r="H127" s="346"/>
      <c r="I127" s="346"/>
      <c r="J127" s="346"/>
      <c r="K127" s="346"/>
      <c r="L127" s="346"/>
      <c r="M127" s="346"/>
      <c r="N127" s="346"/>
      <c r="O127" s="322"/>
      <c r="P127" s="9"/>
      <c r="Q127" s="440"/>
      <c r="R127" s="422"/>
      <c r="S127" s="422"/>
      <c r="T127" s="422"/>
      <c r="U127" s="450" t="b">
        <v>1</v>
      </c>
      <c r="V127" s="450">
        <f>EUwideConstants!$C$308</f>
        <v>95</v>
      </c>
      <c r="W127" s="450">
        <f>EUwideConstants!$H$308</f>
        <v>0.97</v>
      </c>
      <c r="X127" s="450" t="str">
        <f t="shared" si="39"/>
        <v>EUA / t CO2e</v>
      </c>
      <c r="Y127" s="450" t="str">
        <f>EUconst_tCO2e</f>
        <v>t CO2e</v>
      </c>
      <c r="Z127" s="447" t="b">
        <f t="shared" si="41"/>
        <v>0</v>
      </c>
      <c r="AA127" s="422"/>
    </row>
    <row r="128" spans="1:27" s="521" customFormat="1" ht="12.75" customHeight="1">
      <c r="A128" s="4"/>
      <c r="B128" s="5"/>
      <c r="C128" s="29">
        <v>16</v>
      </c>
      <c r="D128" s="950" t="str">
        <f t="shared" si="42"/>
        <v>Sottoimpianto con emissioni di processo, non CL</v>
      </c>
      <c r="E128" s="951"/>
      <c r="F128" s="952"/>
      <c r="G128" s="372"/>
      <c r="H128" s="372"/>
      <c r="I128" s="372"/>
      <c r="J128" s="372"/>
      <c r="K128" s="372"/>
      <c r="L128" s="372"/>
      <c r="M128" s="372"/>
      <c r="N128" s="372"/>
      <c r="O128" s="322"/>
      <c r="P128" s="9"/>
      <c r="Q128" s="440"/>
      <c r="R128" s="422"/>
      <c r="S128" s="422"/>
      <c r="T128" s="422"/>
      <c r="U128" s="450" t="b">
        <v>0</v>
      </c>
      <c r="V128" s="450">
        <f>EUwideConstants!$C$309</f>
        <v>96</v>
      </c>
      <c r="W128" s="450">
        <f>EUwideConstants!$H$309</f>
        <v>0.97</v>
      </c>
      <c r="X128" s="450" t="str">
        <f t="shared" si="39"/>
        <v>EUA / t CO2e</v>
      </c>
      <c r="Y128" s="450" t="str">
        <f>EUconst_tCO2e</f>
        <v>t CO2e</v>
      </c>
      <c r="Z128" s="447" t="b">
        <f t="shared" si="41"/>
        <v>0</v>
      </c>
      <c r="AA128" s="422"/>
    </row>
    <row r="129" spans="1:27" s="521" customFormat="1" ht="12.75" customHeight="1" thickBot="1">
      <c r="A129" s="4"/>
      <c r="B129" s="5"/>
      <c r="C129" s="412">
        <v>17</v>
      </c>
      <c r="D129" s="939" t="str">
        <f>EUconst_PrivateHouseholds</f>
        <v>Utenze private</v>
      </c>
      <c r="E129" s="940"/>
      <c r="F129" s="941"/>
      <c r="G129" s="414"/>
      <c r="H129" s="414"/>
      <c r="I129" s="414"/>
      <c r="J129" s="414"/>
      <c r="K129" s="414"/>
      <c r="L129" s="414"/>
      <c r="M129" s="414"/>
      <c r="N129" s="414"/>
      <c r="O129" s="322"/>
      <c r="P129" s="9"/>
      <c r="Q129" s="440"/>
      <c r="R129" s="422"/>
      <c r="S129" s="422"/>
      <c r="T129" s="422"/>
      <c r="U129" s="450">
        <f>""</f>
      </c>
      <c r="V129" s="450"/>
      <c r="W129" s="450"/>
      <c r="X129" s="450"/>
      <c r="Y129" s="450"/>
      <c r="Z129" s="447" t="b">
        <f t="shared" si="41"/>
        <v>0</v>
      </c>
      <c r="AA129" s="422"/>
    </row>
    <row r="130" spans="1:27" s="521" customFormat="1" ht="12.75" customHeight="1">
      <c r="A130" s="4"/>
      <c r="B130" s="5"/>
      <c r="C130" s="18"/>
      <c r="D130" s="942" t="str">
        <f>EUconst_TotFreeAlloc</f>
        <v>Assegnazione totale finale a titolo gratuito</v>
      </c>
      <c r="E130" s="943"/>
      <c r="F130" s="944"/>
      <c r="G130" s="212">
        <f aca="true" t="shared" si="43" ref="G130:N130">IF(COUNT(G112:G129)&gt;0,SUM(G112:G129),"")</f>
      </c>
      <c r="H130" s="212">
        <f t="shared" si="43"/>
      </c>
      <c r="I130" s="212">
        <f t="shared" si="43"/>
      </c>
      <c r="J130" s="212">
        <f t="shared" si="43"/>
      </c>
      <c r="K130" s="212">
        <f t="shared" si="43"/>
      </c>
      <c r="L130" s="212">
        <f t="shared" si="43"/>
      </c>
      <c r="M130" s="212">
        <f t="shared" si="43"/>
      </c>
      <c r="N130" s="212">
        <f t="shared" si="43"/>
      </c>
      <c r="O130" s="322"/>
      <c r="P130" s="9"/>
      <c r="Q130" s="440"/>
      <c r="R130" s="440"/>
      <c r="S130" s="440"/>
      <c r="T130" s="440"/>
      <c r="U130" s="440"/>
      <c r="V130" s="440"/>
      <c r="W130" s="440"/>
      <c r="X130" s="440"/>
      <c r="Y130" s="422"/>
      <c r="Z130" s="447" t="b">
        <f t="shared" si="41"/>
        <v>0</v>
      </c>
      <c r="AA130" s="422"/>
    </row>
    <row r="131" spans="1:27" s="521" customFormat="1" ht="12.75" customHeight="1">
      <c r="A131" s="4"/>
      <c r="B131" s="5"/>
      <c r="C131" s="5"/>
      <c r="D131" s="5"/>
      <c r="E131" s="5"/>
      <c r="F131" s="5"/>
      <c r="G131" s="5"/>
      <c r="H131" s="5"/>
      <c r="I131" s="5"/>
      <c r="J131" s="5"/>
      <c r="K131" s="5"/>
      <c r="L131" s="5"/>
      <c r="M131" s="9"/>
      <c r="N131" s="9"/>
      <c r="O131" s="322"/>
      <c r="P131" s="9"/>
      <c r="Q131" s="440"/>
      <c r="R131" s="440"/>
      <c r="S131" s="440"/>
      <c r="T131" s="440"/>
      <c r="U131" s="440"/>
      <c r="V131" s="440"/>
      <c r="W131" s="440"/>
      <c r="X131" s="440"/>
      <c r="Y131" s="440"/>
      <c r="Z131" s="440"/>
      <c r="AA131" s="422"/>
    </row>
    <row r="132" spans="1:27" s="521" customFormat="1" ht="12.75" customHeight="1">
      <c r="A132" s="4"/>
      <c r="B132" s="5"/>
      <c r="C132" s="5"/>
      <c r="D132" s="493" t="s">
        <v>458</v>
      </c>
      <c r="E132" s="728" t="str">
        <f>Translations!$B$1555</f>
        <v>Capacità iniziale installata e livello di attività annuale iniziale</v>
      </c>
      <c r="F132" s="724"/>
      <c r="G132" s="724"/>
      <c r="H132" s="724"/>
      <c r="I132" s="724"/>
      <c r="J132" s="724"/>
      <c r="K132" s="724"/>
      <c r="L132" s="724"/>
      <c r="M132" s="724"/>
      <c r="N132" s="724"/>
      <c r="O132" s="316"/>
      <c r="P132" s="377"/>
      <c r="Q132" s="440"/>
      <c r="R132" s="422"/>
      <c r="S132" s="422"/>
      <c r="T132" s="422"/>
      <c r="U132" s="422"/>
      <c r="V132" s="422"/>
      <c r="W132" s="422"/>
      <c r="X132" s="422"/>
      <c r="Y132" s="422"/>
      <c r="Z132" s="422"/>
      <c r="AA132" s="422"/>
    </row>
    <row r="133" spans="1:27" s="521" customFormat="1" ht="4.5" customHeight="1">
      <c r="A133" s="4"/>
      <c r="B133" s="5"/>
      <c r="C133" s="5"/>
      <c r="D133" s="193"/>
      <c r="E133" s="787"/>
      <c r="F133" s="723"/>
      <c r="G133" s="723"/>
      <c r="H133" s="723"/>
      <c r="I133" s="723"/>
      <c r="J133" s="723"/>
      <c r="K133" s="723"/>
      <c r="L133" s="723"/>
      <c r="M133" s="723"/>
      <c r="N133" s="723"/>
      <c r="O133" s="316"/>
      <c r="P133" s="322"/>
      <c r="Q133" s="440"/>
      <c r="R133" s="422"/>
      <c r="S133" s="422"/>
      <c r="T133" s="422"/>
      <c r="U133" s="422"/>
      <c r="V133" s="422"/>
      <c r="W133" s="422"/>
      <c r="X133" s="422"/>
      <c r="Y133" s="422"/>
      <c r="Z133" s="422"/>
      <c r="AA133" s="422"/>
    </row>
    <row r="134" spans="1:27" s="525" customFormat="1" ht="38.25" customHeight="1" thickBot="1">
      <c r="A134" s="395"/>
      <c r="B134" s="371"/>
      <c r="C134" s="396"/>
      <c r="D134" s="957" t="str">
        <f>Translations!$B$440</f>
        <v>Sottoimpianto</v>
      </c>
      <c r="E134" s="958"/>
      <c r="F134" s="958"/>
      <c r="G134" s="959"/>
      <c r="H134" s="66" t="str">
        <f>EUconst_Unit</f>
        <v>Unità</v>
      </c>
      <c r="I134" s="66" t="str">
        <f>Translations!$B$1030</f>
        <v>Capacità installata iniziale</v>
      </c>
      <c r="J134" s="397" t="str">
        <f>Translations!$B$1187</f>
        <v>Livello di attività annuale iniziale </v>
      </c>
      <c r="K134" s="389" t="str">
        <f>Translations!$B$1103</f>
        <v>messaggio di errore</v>
      </c>
      <c r="L134" s="322"/>
      <c r="M134" s="322"/>
      <c r="N134" s="322"/>
      <c r="O134" s="398"/>
      <c r="P134" s="399"/>
      <c r="Q134" s="454"/>
      <c r="R134" s="454"/>
      <c r="S134" s="454"/>
      <c r="T134" s="454"/>
      <c r="U134" s="454"/>
      <c r="V134" s="448" t="s">
        <v>545</v>
      </c>
      <c r="W134" s="454"/>
      <c r="X134" s="454"/>
      <c r="Y134" s="454"/>
      <c r="Z134" s="454"/>
      <c r="AA134" s="455"/>
    </row>
    <row r="135" spans="1:27" s="521" customFormat="1" ht="12.75" customHeight="1">
      <c r="A135" s="4"/>
      <c r="B135" s="5"/>
      <c r="C135" s="29">
        <v>1</v>
      </c>
      <c r="D135" s="960">
        <f aca="true" t="shared" si="44" ref="D135:D144">IF(D90="","",D90)</f>
      </c>
      <c r="E135" s="961"/>
      <c r="F135" s="961"/>
      <c r="G135" s="962"/>
      <c r="H135" s="65">
        <f aca="true" t="shared" si="45" ref="H135:H144">IF(D135&lt;&gt;"",INDEX(EUconst_BMlistUnits,MATCH($D135,EUconst_BMlistNames,0))&amp;" / "&amp;EUconst_Year,"")</f>
      </c>
      <c r="I135" s="529"/>
      <c r="J135" s="529"/>
      <c r="K135" s="400">
        <f aca="true" t="shared" si="46" ref="K135:K144">IF(D135="","",IF(COUNT(I135:J135)&lt;2,EUconst_Incomplete,""))</f>
      </c>
      <c r="L135" s="322"/>
      <c r="M135" s="322"/>
      <c r="N135" s="322"/>
      <c r="O135" s="322"/>
      <c r="P135" s="320"/>
      <c r="Q135" s="450" t="str">
        <f aca="true" t="shared" si="47" ref="Q135:Q150">EUconst_CNTR_CAPINI&amp;$V135&amp;"_"&amp;$D135</f>
        <v>CAPINI_2_</v>
      </c>
      <c r="R135" s="450" t="str">
        <f aca="true" t="shared" si="48" ref="R135:R150">EUconst_CNTR_HAL&amp;$V135&amp;"_"&amp;$D135</f>
        <v>HAL_2_</v>
      </c>
      <c r="S135" s="450" t="str">
        <f aca="true" t="shared" si="49" ref="S135:S144">EUconst_CNTR_HAL&amp;$V135&amp;"_"&amp;$C135</f>
        <v>HAL_2_1</v>
      </c>
      <c r="T135" s="440"/>
      <c r="U135" s="440"/>
      <c r="V135" s="451">
        <f>V106</f>
        <v>2</v>
      </c>
      <c r="W135" s="440"/>
      <c r="X135" s="440"/>
      <c r="Y135" s="450">
        <f>M84</f>
      </c>
      <c r="Z135" s="447" t="b">
        <f>AND(Y135&lt;&gt;"",D90="")</f>
        <v>0</v>
      </c>
      <c r="AA135" s="422"/>
    </row>
    <row r="136" spans="1:27" s="521" customFormat="1" ht="12.75" customHeight="1">
      <c r="A136" s="4"/>
      <c r="B136" s="5"/>
      <c r="C136" s="29">
        <v>2</v>
      </c>
      <c r="D136" s="933">
        <f t="shared" si="44"/>
      </c>
      <c r="E136" s="934"/>
      <c r="F136" s="934"/>
      <c r="G136" s="935"/>
      <c r="H136" s="64">
        <f t="shared" si="45"/>
      </c>
      <c r="I136" s="530"/>
      <c r="J136" s="530"/>
      <c r="K136" s="401">
        <f t="shared" si="46"/>
      </c>
      <c r="L136" s="322"/>
      <c r="M136" s="322"/>
      <c r="N136" s="322"/>
      <c r="O136" s="322"/>
      <c r="P136" s="320"/>
      <c r="Q136" s="450" t="str">
        <f t="shared" si="47"/>
        <v>CAPINI_2_</v>
      </c>
      <c r="R136" s="450" t="str">
        <f t="shared" si="48"/>
        <v>HAL_2_</v>
      </c>
      <c r="S136" s="450" t="str">
        <f t="shared" si="49"/>
        <v>HAL_2_2</v>
      </c>
      <c r="T136" s="440"/>
      <c r="U136" s="440"/>
      <c r="V136" s="452">
        <f aca="true" t="shared" si="50" ref="V136:V150">V135</f>
        <v>2</v>
      </c>
      <c r="W136" s="440"/>
      <c r="X136" s="440"/>
      <c r="Y136" s="450">
        <f>Y135</f>
      </c>
      <c r="Z136" s="447" t="b">
        <f aca="true" t="shared" si="51" ref="Z136:Z144">AND(Y136&lt;&gt;"",D91="")</f>
        <v>0</v>
      </c>
      <c r="AA136" s="422"/>
    </row>
    <row r="137" spans="1:27" s="521" customFormat="1" ht="12.75" customHeight="1">
      <c r="A137" s="4"/>
      <c r="B137" s="5"/>
      <c r="C137" s="29">
        <v>3</v>
      </c>
      <c r="D137" s="933">
        <f t="shared" si="44"/>
      </c>
      <c r="E137" s="934"/>
      <c r="F137" s="934"/>
      <c r="G137" s="935"/>
      <c r="H137" s="64">
        <f t="shared" si="45"/>
      </c>
      <c r="I137" s="530"/>
      <c r="J137" s="530"/>
      <c r="K137" s="401">
        <f t="shared" si="46"/>
      </c>
      <c r="L137" s="322"/>
      <c r="M137" s="322"/>
      <c r="N137" s="322"/>
      <c r="O137" s="322"/>
      <c r="P137" s="320"/>
      <c r="Q137" s="450" t="str">
        <f t="shared" si="47"/>
        <v>CAPINI_2_</v>
      </c>
      <c r="R137" s="450" t="str">
        <f t="shared" si="48"/>
        <v>HAL_2_</v>
      </c>
      <c r="S137" s="450" t="str">
        <f t="shared" si="49"/>
        <v>HAL_2_3</v>
      </c>
      <c r="T137" s="440"/>
      <c r="U137" s="440"/>
      <c r="V137" s="452">
        <f t="shared" si="50"/>
        <v>2</v>
      </c>
      <c r="W137" s="440"/>
      <c r="X137" s="440"/>
      <c r="Y137" s="450">
        <f aca="true" t="shared" si="52" ref="Y137:Y150">Y136</f>
      </c>
      <c r="Z137" s="447" t="b">
        <f t="shared" si="51"/>
        <v>0</v>
      </c>
      <c r="AA137" s="422"/>
    </row>
    <row r="138" spans="1:27" s="521" customFormat="1" ht="12.75" customHeight="1">
      <c r="A138" s="4"/>
      <c r="B138" s="5"/>
      <c r="C138" s="29">
        <v>4</v>
      </c>
      <c r="D138" s="933">
        <f t="shared" si="44"/>
      </c>
      <c r="E138" s="934"/>
      <c r="F138" s="934"/>
      <c r="G138" s="935"/>
      <c r="H138" s="64">
        <f t="shared" si="45"/>
      </c>
      <c r="I138" s="530"/>
      <c r="J138" s="530"/>
      <c r="K138" s="401">
        <f t="shared" si="46"/>
      </c>
      <c r="L138" s="322"/>
      <c r="M138" s="322"/>
      <c r="N138" s="322"/>
      <c r="O138" s="322"/>
      <c r="P138" s="320"/>
      <c r="Q138" s="450" t="str">
        <f t="shared" si="47"/>
        <v>CAPINI_2_</v>
      </c>
      <c r="R138" s="450" t="str">
        <f t="shared" si="48"/>
        <v>HAL_2_</v>
      </c>
      <c r="S138" s="450" t="str">
        <f t="shared" si="49"/>
        <v>HAL_2_4</v>
      </c>
      <c r="T138" s="440"/>
      <c r="U138" s="440"/>
      <c r="V138" s="452">
        <f t="shared" si="50"/>
        <v>2</v>
      </c>
      <c r="W138" s="440"/>
      <c r="X138" s="440"/>
      <c r="Y138" s="450">
        <f t="shared" si="52"/>
      </c>
      <c r="Z138" s="447" t="b">
        <f t="shared" si="51"/>
        <v>0</v>
      </c>
      <c r="AA138" s="422"/>
    </row>
    <row r="139" spans="1:27" s="521" customFormat="1" ht="12.75" customHeight="1">
      <c r="A139" s="4"/>
      <c r="B139" s="5"/>
      <c r="C139" s="29">
        <v>5</v>
      </c>
      <c r="D139" s="933">
        <f t="shared" si="44"/>
      </c>
      <c r="E139" s="934"/>
      <c r="F139" s="934"/>
      <c r="G139" s="935"/>
      <c r="H139" s="64">
        <f t="shared" si="45"/>
      </c>
      <c r="I139" s="530"/>
      <c r="J139" s="530"/>
      <c r="K139" s="401">
        <f t="shared" si="46"/>
      </c>
      <c r="L139" s="322"/>
      <c r="M139" s="322"/>
      <c r="N139" s="377"/>
      <c r="O139" s="322"/>
      <c r="P139" s="320"/>
      <c r="Q139" s="450" t="str">
        <f t="shared" si="47"/>
        <v>CAPINI_2_</v>
      </c>
      <c r="R139" s="450" t="str">
        <f t="shared" si="48"/>
        <v>HAL_2_</v>
      </c>
      <c r="S139" s="450" t="str">
        <f t="shared" si="49"/>
        <v>HAL_2_5</v>
      </c>
      <c r="T139" s="440"/>
      <c r="U139" s="440"/>
      <c r="V139" s="452">
        <f t="shared" si="50"/>
        <v>2</v>
      </c>
      <c r="W139" s="440"/>
      <c r="X139" s="440"/>
      <c r="Y139" s="450">
        <f t="shared" si="52"/>
      </c>
      <c r="Z139" s="447" t="b">
        <f t="shared" si="51"/>
        <v>0</v>
      </c>
      <c r="AA139" s="422"/>
    </row>
    <row r="140" spans="1:27" s="521" customFormat="1" ht="12.75" customHeight="1">
      <c r="A140" s="4"/>
      <c r="B140" s="5"/>
      <c r="C140" s="29">
        <v>6</v>
      </c>
      <c r="D140" s="933">
        <f t="shared" si="44"/>
      </c>
      <c r="E140" s="934"/>
      <c r="F140" s="934"/>
      <c r="G140" s="935"/>
      <c r="H140" s="64">
        <f t="shared" si="45"/>
      </c>
      <c r="I140" s="530"/>
      <c r="J140" s="530"/>
      <c r="K140" s="401">
        <f t="shared" si="46"/>
      </c>
      <c r="L140" s="322"/>
      <c r="M140" s="322"/>
      <c r="N140" s="322"/>
      <c r="O140" s="322"/>
      <c r="P140" s="9"/>
      <c r="Q140" s="450" t="str">
        <f t="shared" si="47"/>
        <v>CAPINI_2_</v>
      </c>
      <c r="R140" s="450" t="str">
        <f t="shared" si="48"/>
        <v>HAL_2_</v>
      </c>
      <c r="S140" s="450" t="str">
        <f t="shared" si="49"/>
        <v>HAL_2_6</v>
      </c>
      <c r="T140" s="440"/>
      <c r="U140" s="440"/>
      <c r="V140" s="452">
        <f t="shared" si="50"/>
        <v>2</v>
      </c>
      <c r="W140" s="440"/>
      <c r="X140" s="440"/>
      <c r="Y140" s="450">
        <f t="shared" si="52"/>
      </c>
      <c r="Z140" s="447" t="b">
        <f t="shared" si="51"/>
        <v>0</v>
      </c>
      <c r="AA140" s="422"/>
    </row>
    <row r="141" spans="1:27" s="521" customFormat="1" ht="12.75" customHeight="1">
      <c r="A141" s="4"/>
      <c r="B141" s="5"/>
      <c r="C141" s="29">
        <v>7</v>
      </c>
      <c r="D141" s="933">
        <f t="shared" si="44"/>
      </c>
      <c r="E141" s="934"/>
      <c r="F141" s="934"/>
      <c r="G141" s="935"/>
      <c r="H141" s="64">
        <f t="shared" si="45"/>
      </c>
      <c r="I141" s="530"/>
      <c r="J141" s="530"/>
      <c r="K141" s="401">
        <f t="shared" si="46"/>
      </c>
      <c r="L141" s="322"/>
      <c r="M141" s="322"/>
      <c r="N141" s="322"/>
      <c r="O141" s="322"/>
      <c r="P141" s="9"/>
      <c r="Q141" s="450" t="str">
        <f t="shared" si="47"/>
        <v>CAPINI_2_</v>
      </c>
      <c r="R141" s="450" t="str">
        <f t="shared" si="48"/>
        <v>HAL_2_</v>
      </c>
      <c r="S141" s="450" t="str">
        <f t="shared" si="49"/>
        <v>HAL_2_7</v>
      </c>
      <c r="T141" s="440"/>
      <c r="U141" s="440"/>
      <c r="V141" s="452">
        <f t="shared" si="50"/>
        <v>2</v>
      </c>
      <c r="W141" s="440"/>
      <c r="X141" s="440"/>
      <c r="Y141" s="450">
        <f t="shared" si="52"/>
      </c>
      <c r="Z141" s="447" t="b">
        <f t="shared" si="51"/>
        <v>0</v>
      </c>
      <c r="AA141" s="422"/>
    </row>
    <row r="142" spans="1:27" s="521" customFormat="1" ht="12.75" customHeight="1">
      <c r="A142" s="4"/>
      <c r="B142" s="5"/>
      <c r="C142" s="29">
        <v>8</v>
      </c>
      <c r="D142" s="933">
        <f t="shared" si="44"/>
      </c>
      <c r="E142" s="934"/>
      <c r="F142" s="934"/>
      <c r="G142" s="935"/>
      <c r="H142" s="64">
        <f t="shared" si="45"/>
      </c>
      <c r="I142" s="530"/>
      <c r="J142" s="530"/>
      <c r="K142" s="401">
        <f t="shared" si="46"/>
      </c>
      <c r="L142" s="322"/>
      <c r="M142" s="322"/>
      <c r="N142" s="322"/>
      <c r="O142" s="322"/>
      <c r="P142" s="9"/>
      <c r="Q142" s="450" t="str">
        <f t="shared" si="47"/>
        <v>CAPINI_2_</v>
      </c>
      <c r="R142" s="450" t="str">
        <f t="shared" si="48"/>
        <v>HAL_2_</v>
      </c>
      <c r="S142" s="450" t="str">
        <f t="shared" si="49"/>
        <v>HAL_2_8</v>
      </c>
      <c r="T142" s="440"/>
      <c r="U142" s="440"/>
      <c r="V142" s="452">
        <f t="shared" si="50"/>
        <v>2</v>
      </c>
      <c r="W142" s="440"/>
      <c r="X142" s="440"/>
      <c r="Y142" s="450">
        <f t="shared" si="52"/>
      </c>
      <c r="Z142" s="447" t="b">
        <f t="shared" si="51"/>
        <v>0</v>
      </c>
      <c r="AA142" s="422"/>
    </row>
    <row r="143" spans="1:27" s="521" customFormat="1" ht="12.75" customHeight="1">
      <c r="A143" s="4"/>
      <c r="B143" s="5"/>
      <c r="C143" s="29">
        <v>9</v>
      </c>
      <c r="D143" s="933">
        <f t="shared" si="44"/>
      </c>
      <c r="E143" s="934"/>
      <c r="F143" s="934"/>
      <c r="G143" s="935"/>
      <c r="H143" s="64">
        <f t="shared" si="45"/>
      </c>
      <c r="I143" s="530"/>
      <c r="J143" s="530"/>
      <c r="K143" s="401">
        <f t="shared" si="46"/>
      </c>
      <c r="L143" s="322"/>
      <c r="M143" s="322"/>
      <c r="N143" s="322"/>
      <c r="O143" s="322"/>
      <c r="P143" s="9"/>
      <c r="Q143" s="450" t="str">
        <f t="shared" si="47"/>
        <v>CAPINI_2_</v>
      </c>
      <c r="R143" s="450" t="str">
        <f t="shared" si="48"/>
        <v>HAL_2_</v>
      </c>
      <c r="S143" s="450" t="str">
        <f t="shared" si="49"/>
        <v>HAL_2_9</v>
      </c>
      <c r="T143" s="440"/>
      <c r="U143" s="440"/>
      <c r="V143" s="452">
        <f t="shared" si="50"/>
        <v>2</v>
      </c>
      <c r="W143" s="440"/>
      <c r="X143" s="440"/>
      <c r="Y143" s="450">
        <f t="shared" si="52"/>
      </c>
      <c r="Z143" s="447" t="b">
        <f t="shared" si="51"/>
        <v>0</v>
      </c>
      <c r="AA143" s="422"/>
    </row>
    <row r="144" spans="1:27" s="521" customFormat="1" ht="12.75" customHeight="1">
      <c r="A144" s="4"/>
      <c r="B144" s="5"/>
      <c r="C144" s="25">
        <v>10</v>
      </c>
      <c r="D144" s="953">
        <f t="shared" si="44"/>
      </c>
      <c r="E144" s="954"/>
      <c r="F144" s="954"/>
      <c r="G144" s="955"/>
      <c r="H144" s="63">
        <f t="shared" si="45"/>
      </c>
      <c r="I144" s="531"/>
      <c r="J144" s="531"/>
      <c r="K144" s="402">
        <f t="shared" si="46"/>
      </c>
      <c r="L144" s="322"/>
      <c r="M144" s="322"/>
      <c r="N144" s="322"/>
      <c r="O144" s="322"/>
      <c r="P144" s="9"/>
      <c r="Q144" s="450" t="str">
        <f t="shared" si="47"/>
        <v>CAPINI_2_</v>
      </c>
      <c r="R144" s="450" t="str">
        <f t="shared" si="48"/>
        <v>HAL_2_</v>
      </c>
      <c r="S144" s="450" t="str">
        <f t="shared" si="49"/>
        <v>HAL_2_10</v>
      </c>
      <c r="T144" s="440"/>
      <c r="U144" s="440"/>
      <c r="V144" s="452">
        <f t="shared" si="50"/>
        <v>2</v>
      </c>
      <c r="W144" s="440"/>
      <c r="X144" s="440"/>
      <c r="Y144" s="450">
        <f t="shared" si="52"/>
      </c>
      <c r="Z144" s="447" t="b">
        <f t="shared" si="51"/>
        <v>0</v>
      </c>
      <c r="AA144" s="422"/>
    </row>
    <row r="145" spans="1:27" s="521" customFormat="1" ht="12.75" customHeight="1">
      <c r="A145" s="4"/>
      <c r="B145" s="5"/>
      <c r="C145" s="29">
        <v>11</v>
      </c>
      <c r="D145" s="936" t="str">
        <f aca="true" t="shared" si="53" ref="D145:D150">INDEX(EUconst_FallBackListNames,C145-10)</f>
        <v>Sottoimpianto oggetto di un parametro di riferimento relativo al calore, CL</v>
      </c>
      <c r="E145" s="937"/>
      <c r="F145" s="937"/>
      <c r="G145" s="938"/>
      <c r="H145" s="65" t="str">
        <f aca="true" t="shared" si="54" ref="H145:H150">IF(D145&lt;&gt;"",INDEX(EUconst_FallBackListUnits,MATCH($D145,EUconst_FallBackListNames,0))&amp;" / "&amp;EUconst_Year,"")</f>
        <v>TJ / anno</v>
      </c>
      <c r="I145" s="534"/>
      <c r="J145" s="529"/>
      <c r="K145" s="403">
        <f aca="true" t="shared" si="55" ref="K145:K150">IF(Y145="","",IF(AND(COUNT(G123:N123)&gt;0,COUNT(I145:J145)&lt;2),EUconst_Incomplete,""))</f>
      </c>
      <c r="L145" s="322"/>
      <c r="M145" s="322"/>
      <c r="N145" s="322"/>
      <c r="O145" s="322"/>
      <c r="P145" s="9"/>
      <c r="Q145" s="450" t="str">
        <f t="shared" si="47"/>
        <v>CAPINI_2_Sottoimpianto oggetto di un parametro di riferimento relativo al calore, CL</v>
      </c>
      <c r="R145" s="450" t="str">
        <f t="shared" si="48"/>
        <v>HAL_2_Sottoimpianto oggetto di un parametro di riferimento relativo al calore, CL</v>
      </c>
      <c r="S145" s="440"/>
      <c r="T145" s="440"/>
      <c r="U145" s="440"/>
      <c r="V145" s="452">
        <f t="shared" si="50"/>
        <v>2</v>
      </c>
      <c r="W145" s="440"/>
      <c r="X145" s="440"/>
      <c r="Y145" s="450">
        <f t="shared" si="52"/>
      </c>
      <c r="Z145" s="447" t="b">
        <f aca="true" t="shared" si="56" ref="Z145:Z150">AND(Y145&lt;&gt;"",COUNT(G100:N100)=0)</f>
        <v>0</v>
      </c>
      <c r="AA145" s="422"/>
    </row>
    <row r="146" spans="1:27" s="521" customFormat="1" ht="12.75" customHeight="1">
      <c r="A146" s="4"/>
      <c r="B146" s="5"/>
      <c r="C146" s="29">
        <v>12</v>
      </c>
      <c r="D146" s="947" t="str">
        <f t="shared" si="53"/>
        <v>Sottoimpianto oggetto di un parametro di riferimento relativo al calore, non CL</v>
      </c>
      <c r="E146" s="948"/>
      <c r="F146" s="948"/>
      <c r="G146" s="949"/>
      <c r="H146" s="64" t="str">
        <f t="shared" si="54"/>
        <v>TJ / anno</v>
      </c>
      <c r="I146" s="535"/>
      <c r="J146" s="530"/>
      <c r="K146" s="401">
        <f t="shared" si="55"/>
      </c>
      <c r="L146" s="322"/>
      <c r="M146" s="322"/>
      <c r="N146" s="322"/>
      <c r="O146" s="322"/>
      <c r="P146" s="9"/>
      <c r="Q146" s="450" t="str">
        <f t="shared" si="47"/>
        <v>CAPINI_2_Sottoimpianto oggetto di un parametro di riferimento relativo al calore, non CL</v>
      </c>
      <c r="R146" s="450" t="str">
        <f t="shared" si="48"/>
        <v>HAL_2_Sottoimpianto oggetto di un parametro di riferimento relativo al calore, non CL</v>
      </c>
      <c r="S146" s="440"/>
      <c r="T146" s="440"/>
      <c r="U146" s="440"/>
      <c r="V146" s="452">
        <f t="shared" si="50"/>
        <v>2</v>
      </c>
      <c r="W146" s="440"/>
      <c r="X146" s="440"/>
      <c r="Y146" s="450">
        <f t="shared" si="52"/>
      </c>
      <c r="Z146" s="447" t="b">
        <f t="shared" si="56"/>
        <v>0</v>
      </c>
      <c r="AA146" s="422"/>
    </row>
    <row r="147" spans="1:27" s="521" customFormat="1" ht="12.75" customHeight="1">
      <c r="A147" s="4"/>
      <c r="B147" s="5"/>
      <c r="C147" s="29">
        <v>13</v>
      </c>
      <c r="D147" s="947" t="str">
        <f t="shared" si="53"/>
        <v>Sottoimpianto oggetto di un parametro di riferimento relativo al combustibile, CL</v>
      </c>
      <c r="E147" s="948"/>
      <c r="F147" s="948"/>
      <c r="G147" s="949"/>
      <c r="H147" s="64" t="str">
        <f t="shared" si="54"/>
        <v>TJ / anno</v>
      </c>
      <c r="I147" s="535"/>
      <c r="J147" s="530"/>
      <c r="K147" s="401">
        <f t="shared" si="55"/>
      </c>
      <c r="L147" s="322"/>
      <c r="M147" s="322"/>
      <c r="N147" s="322"/>
      <c r="O147" s="322"/>
      <c r="P147" s="9"/>
      <c r="Q147" s="450" t="str">
        <f t="shared" si="47"/>
        <v>CAPINI_2_Sottoimpianto oggetto di un parametro di riferimento relativo al combustibile, CL</v>
      </c>
      <c r="R147" s="450" t="str">
        <f t="shared" si="48"/>
        <v>HAL_2_Sottoimpianto oggetto di un parametro di riferimento relativo al combustibile, CL</v>
      </c>
      <c r="S147" s="440"/>
      <c r="T147" s="440"/>
      <c r="U147" s="440"/>
      <c r="V147" s="452">
        <f t="shared" si="50"/>
        <v>2</v>
      </c>
      <c r="W147" s="440"/>
      <c r="X147" s="440"/>
      <c r="Y147" s="450">
        <f t="shared" si="52"/>
      </c>
      <c r="Z147" s="447" t="b">
        <f t="shared" si="56"/>
        <v>0</v>
      </c>
      <c r="AA147" s="422"/>
    </row>
    <row r="148" spans="1:27" s="521" customFormat="1" ht="12.75" customHeight="1">
      <c r="A148" s="4"/>
      <c r="B148" s="5"/>
      <c r="C148" s="29">
        <v>14</v>
      </c>
      <c r="D148" s="947" t="str">
        <f t="shared" si="53"/>
        <v>Sottoimpianto oggetto di un parametro di riferimento relativo al combustibile, non CL</v>
      </c>
      <c r="E148" s="948"/>
      <c r="F148" s="948"/>
      <c r="G148" s="949"/>
      <c r="H148" s="64" t="str">
        <f t="shared" si="54"/>
        <v>TJ / anno</v>
      </c>
      <c r="I148" s="535"/>
      <c r="J148" s="530"/>
      <c r="K148" s="401">
        <f t="shared" si="55"/>
      </c>
      <c r="L148" s="322"/>
      <c r="M148" s="322"/>
      <c r="N148" s="322"/>
      <c r="O148" s="322"/>
      <c r="P148" s="9"/>
      <c r="Q148" s="450" t="str">
        <f t="shared" si="47"/>
        <v>CAPINI_2_Sottoimpianto oggetto di un parametro di riferimento relativo al combustibile, non CL</v>
      </c>
      <c r="R148" s="450" t="str">
        <f t="shared" si="48"/>
        <v>HAL_2_Sottoimpianto oggetto di un parametro di riferimento relativo al combustibile, non CL</v>
      </c>
      <c r="S148" s="440"/>
      <c r="T148" s="440"/>
      <c r="U148" s="440"/>
      <c r="V148" s="452">
        <f t="shared" si="50"/>
        <v>2</v>
      </c>
      <c r="W148" s="440"/>
      <c r="X148" s="440"/>
      <c r="Y148" s="450">
        <f t="shared" si="52"/>
      </c>
      <c r="Z148" s="447" t="b">
        <f t="shared" si="56"/>
        <v>0</v>
      </c>
      <c r="AA148" s="422"/>
    </row>
    <row r="149" spans="1:27" s="521" customFormat="1" ht="12.75" customHeight="1">
      <c r="A149" s="4"/>
      <c r="B149" s="5"/>
      <c r="C149" s="29">
        <v>15</v>
      </c>
      <c r="D149" s="947" t="str">
        <f t="shared" si="53"/>
        <v>Sottoimpianto con emissioni di processo, CL</v>
      </c>
      <c r="E149" s="948"/>
      <c r="F149" s="948"/>
      <c r="G149" s="949"/>
      <c r="H149" s="64" t="str">
        <f t="shared" si="54"/>
        <v>t CO2e / anno</v>
      </c>
      <c r="I149" s="535"/>
      <c r="J149" s="530"/>
      <c r="K149" s="401">
        <f t="shared" si="55"/>
      </c>
      <c r="L149" s="322"/>
      <c r="M149" s="322"/>
      <c r="N149" s="322"/>
      <c r="O149" s="322"/>
      <c r="P149" s="9"/>
      <c r="Q149" s="450" t="str">
        <f t="shared" si="47"/>
        <v>CAPINI_2_Sottoimpianto con emissioni di processo, CL</v>
      </c>
      <c r="R149" s="450" t="str">
        <f t="shared" si="48"/>
        <v>HAL_2_Sottoimpianto con emissioni di processo, CL</v>
      </c>
      <c r="S149" s="440"/>
      <c r="T149" s="440"/>
      <c r="U149" s="440"/>
      <c r="V149" s="452">
        <f t="shared" si="50"/>
        <v>2</v>
      </c>
      <c r="W149" s="440"/>
      <c r="X149" s="440"/>
      <c r="Y149" s="450">
        <f t="shared" si="52"/>
      </c>
      <c r="Z149" s="447" t="b">
        <f t="shared" si="56"/>
        <v>0</v>
      </c>
      <c r="AA149" s="422"/>
    </row>
    <row r="150" spans="1:27" s="521" customFormat="1" ht="12.75" customHeight="1" thickBot="1">
      <c r="A150" s="4"/>
      <c r="B150" s="5"/>
      <c r="C150" s="25">
        <v>16</v>
      </c>
      <c r="D150" s="950" t="str">
        <f t="shared" si="53"/>
        <v>Sottoimpianto con emissioni di processo, non CL</v>
      </c>
      <c r="E150" s="951"/>
      <c r="F150" s="951"/>
      <c r="G150" s="952"/>
      <c r="H150" s="63" t="str">
        <f t="shared" si="54"/>
        <v>t CO2e / anno</v>
      </c>
      <c r="I150" s="536"/>
      <c r="J150" s="531"/>
      <c r="K150" s="402">
        <f t="shared" si="55"/>
      </c>
      <c r="L150" s="322"/>
      <c r="M150" s="322"/>
      <c r="N150" s="322"/>
      <c r="O150" s="322"/>
      <c r="P150" s="9"/>
      <c r="Q150" s="450" t="str">
        <f t="shared" si="47"/>
        <v>CAPINI_2_Sottoimpianto con emissioni di processo, non CL</v>
      </c>
      <c r="R150" s="450" t="str">
        <f t="shared" si="48"/>
        <v>HAL_2_Sottoimpianto con emissioni di processo, non CL</v>
      </c>
      <c r="S150" s="440"/>
      <c r="T150" s="440"/>
      <c r="U150" s="440"/>
      <c r="V150" s="453">
        <f t="shared" si="50"/>
        <v>2</v>
      </c>
      <c r="W150" s="440"/>
      <c r="X150" s="440"/>
      <c r="Y150" s="450">
        <f t="shared" si="52"/>
      </c>
      <c r="Z150" s="447" t="b">
        <f t="shared" si="56"/>
        <v>0</v>
      </c>
      <c r="AA150" s="422"/>
    </row>
    <row r="151" spans="1:27" s="521" customFormat="1" ht="39.75" customHeight="1">
      <c r="A151" s="4"/>
      <c r="B151" s="5"/>
      <c r="C151" s="7"/>
      <c r="D151" s="5"/>
      <c r="E151" s="5"/>
      <c r="F151" s="5"/>
      <c r="G151" s="5"/>
      <c r="H151" s="5"/>
      <c r="I151" s="5"/>
      <c r="J151" s="5"/>
      <c r="K151" s="5"/>
      <c r="L151" s="5"/>
      <c r="M151" s="9"/>
      <c r="N151" s="9"/>
      <c r="O151" s="314"/>
      <c r="P151" s="9"/>
      <c r="Q151" s="440"/>
      <c r="R151" s="422"/>
      <c r="S151" s="422"/>
      <c r="T151" s="422"/>
      <c r="U151" s="422"/>
      <c r="V151" s="422"/>
      <c r="W151" s="422"/>
      <c r="X151" s="422"/>
      <c r="Y151" s="422"/>
      <c r="Z151" s="422"/>
      <c r="AA151" s="422"/>
    </row>
    <row r="152" spans="1:27" s="521" customFormat="1" ht="12.75">
      <c r="A152" s="4"/>
      <c r="B152" s="18"/>
      <c r="C152" s="18"/>
      <c r="D152" s="709" t="str">
        <f>HYPERLINK(R152,Translations!$B$336)</f>
        <v>&lt;&lt;&lt; Cliccare qui per passare al foglio successivo &gt;&gt;&gt; </v>
      </c>
      <c r="E152" s="710"/>
      <c r="F152" s="710"/>
      <c r="G152" s="710"/>
      <c r="H152" s="710"/>
      <c r="I152" s="710"/>
      <c r="J152" s="710"/>
      <c r="K152" s="710"/>
      <c r="L152" s="710"/>
      <c r="M152" s="710"/>
      <c r="N152" s="710"/>
      <c r="O152" s="18"/>
      <c r="P152" s="18"/>
      <c r="Q152" s="333"/>
      <c r="R152" s="450" t="str">
        <f>$W$2</f>
        <v>#C_MergerSplitTransfer!$C$6</v>
      </c>
      <c r="S152" s="333"/>
      <c r="T152" s="333"/>
      <c r="U152" s="333"/>
      <c r="V152" s="333"/>
      <c r="W152" s="333"/>
      <c r="X152" s="333"/>
      <c r="Y152" s="333"/>
      <c r="Z152" s="333"/>
      <c r="AA152" s="422"/>
    </row>
    <row r="153" spans="2:27" s="521" customFormat="1" ht="12.75">
      <c r="B153" s="522"/>
      <c r="C153" s="522"/>
      <c r="D153" s="522"/>
      <c r="E153" s="522"/>
      <c r="F153" s="522"/>
      <c r="G153" s="522"/>
      <c r="H153" s="522"/>
      <c r="I153" s="522"/>
      <c r="J153" s="522"/>
      <c r="K153" s="522"/>
      <c r="L153" s="522"/>
      <c r="M153" s="518"/>
      <c r="N153" s="518"/>
      <c r="O153" s="518"/>
      <c r="P153" s="518"/>
      <c r="Q153" s="456" t="s">
        <v>172</v>
      </c>
      <c r="R153" s="456" t="s">
        <v>172</v>
      </c>
      <c r="S153" s="456" t="s">
        <v>172</v>
      </c>
      <c r="T153" s="456" t="s">
        <v>172</v>
      </c>
      <c r="U153" s="456" t="s">
        <v>172</v>
      </c>
      <c r="V153" s="456" t="s">
        <v>172</v>
      </c>
      <c r="W153" s="456" t="s">
        <v>172</v>
      </c>
      <c r="X153" s="456" t="s">
        <v>172</v>
      </c>
      <c r="Y153" s="456" t="s">
        <v>172</v>
      </c>
      <c r="Z153" s="456" t="s">
        <v>172</v>
      </c>
      <c r="AA153" s="422"/>
    </row>
  </sheetData>
  <sheetProtection sheet="1" objects="1" scenarios="1" formatCells="0" formatColumns="0" formatRows="0"/>
  <mergeCells count="160">
    <mergeCell ref="S3:T3"/>
    <mergeCell ref="U3:V3"/>
    <mergeCell ref="S2:T2"/>
    <mergeCell ref="U2:V2"/>
    <mergeCell ref="W2:X2"/>
    <mergeCell ref="Y2:Z2"/>
    <mergeCell ref="W3:X3"/>
    <mergeCell ref="Y3:Z3"/>
    <mergeCell ref="U4:V4"/>
    <mergeCell ref="W4:X4"/>
    <mergeCell ref="Y4:Z4"/>
    <mergeCell ref="S4:T4"/>
    <mergeCell ref="D67:G67"/>
    <mergeCell ref="D68:G68"/>
    <mergeCell ref="D33:F33"/>
    <mergeCell ref="D27:F27"/>
    <mergeCell ref="D28:F28"/>
    <mergeCell ref="D29:F29"/>
    <mergeCell ref="B2:D4"/>
    <mergeCell ref="D30:F30"/>
    <mergeCell ref="D75:G75"/>
    <mergeCell ref="D72:G72"/>
    <mergeCell ref="D70:G70"/>
    <mergeCell ref="D32:F32"/>
    <mergeCell ref="D34:F34"/>
    <mergeCell ref="D55:F55"/>
    <mergeCell ref="D56:F56"/>
    <mergeCell ref="D57:F57"/>
    <mergeCell ref="G4:H4"/>
    <mergeCell ref="E4:F4"/>
    <mergeCell ref="D21:F21"/>
    <mergeCell ref="K3:L3"/>
    <mergeCell ref="D19:F19"/>
    <mergeCell ref="M3:N3"/>
    <mergeCell ref="E13:N13"/>
    <mergeCell ref="D17:F17"/>
    <mergeCell ref="M4:N4"/>
    <mergeCell ref="D6:N6"/>
    <mergeCell ref="G3:H3"/>
    <mergeCell ref="I3:J3"/>
    <mergeCell ref="D22:F22"/>
    <mergeCell ref="I4:J4"/>
    <mergeCell ref="K4:L4"/>
    <mergeCell ref="D35:F35"/>
    <mergeCell ref="D31:F31"/>
    <mergeCell ref="K10:N10"/>
    <mergeCell ref="D20:F20"/>
    <mergeCell ref="M11:N11"/>
    <mergeCell ref="E63:N63"/>
    <mergeCell ref="D41:F41"/>
    <mergeCell ref="D42:F42"/>
    <mergeCell ref="D43:F43"/>
    <mergeCell ref="D48:F48"/>
    <mergeCell ref="G2:H2"/>
    <mergeCell ref="I2:J2"/>
    <mergeCell ref="K2:L2"/>
    <mergeCell ref="M2:N2"/>
    <mergeCell ref="E3:F3"/>
    <mergeCell ref="D65:G65"/>
    <mergeCell ref="D66:G66"/>
    <mergeCell ref="D73:G73"/>
    <mergeCell ref="D69:G69"/>
    <mergeCell ref="D77:G77"/>
    <mergeCell ref="D24:F24"/>
    <mergeCell ref="D25:F25"/>
    <mergeCell ref="D26:F26"/>
    <mergeCell ref="D74:G74"/>
    <mergeCell ref="D71:G71"/>
    <mergeCell ref="D64:G64"/>
    <mergeCell ref="D102:F102"/>
    <mergeCell ref="D92:F92"/>
    <mergeCell ref="D93:F93"/>
    <mergeCell ref="D94:F94"/>
    <mergeCell ref="D95:F95"/>
    <mergeCell ref="D76:G76"/>
    <mergeCell ref="D100:F100"/>
    <mergeCell ref="D78:G78"/>
    <mergeCell ref="D79:G79"/>
    <mergeCell ref="K83:N83"/>
    <mergeCell ref="E14:N14"/>
    <mergeCell ref="E61:N61"/>
    <mergeCell ref="E62:N62"/>
    <mergeCell ref="D23:F23"/>
    <mergeCell ref="D16:F16"/>
    <mergeCell ref="D18:F18"/>
    <mergeCell ref="D54:F54"/>
    <mergeCell ref="D53:F53"/>
    <mergeCell ref="D40:F40"/>
    <mergeCell ref="E86:N86"/>
    <mergeCell ref="D88:F88"/>
    <mergeCell ref="D89:F89"/>
    <mergeCell ref="D90:F90"/>
    <mergeCell ref="D91:F91"/>
    <mergeCell ref="D103:F103"/>
    <mergeCell ref="D146:G146"/>
    <mergeCell ref="D147:G147"/>
    <mergeCell ref="E133:N133"/>
    <mergeCell ref="D127:F127"/>
    <mergeCell ref="D128:F128"/>
    <mergeCell ref="D101:F101"/>
    <mergeCell ref="D138:G138"/>
    <mergeCell ref="E132:N132"/>
    <mergeCell ref="D111:F111"/>
    <mergeCell ref="D112:F112"/>
    <mergeCell ref="D150:G150"/>
    <mergeCell ref="D139:G139"/>
    <mergeCell ref="D140:G140"/>
    <mergeCell ref="D141:G141"/>
    <mergeCell ref="D142:G142"/>
    <mergeCell ref="D143:G143"/>
    <mergeCell ref="D144:G144"/>
    <mergeCell ref="D145:G145"/>
    <mergeCell ref="D148:G148"/>
    <mergeCell ref="D149:G149"/>
    <mergeCell ref="D134:G134"/>
    <mergeCell ref="D135:G135"/>
    <mergeCell ref="D136:G136"/>
    <mergeCell ref="D129:F129"/>
    <mergeCell ref="D130:F130"/>
    <mergeCell ref="D137:G137"/>
    <mergeCell ref="D119:F119"/>
    <mergeCell ref="D122:F122"/>
    <mergeCell ref="M84:N84"/>
    <mergeCell ref="D96:F96"/>
    <mergeCell ref="D97:F97"/>
    <mergeCell ref="D98:F98"/>
    <mergeCell ref="D99:F99"/>
    <mergeCell ref="D121:F121"/>
    <mergeCell ref="D120:F120"/>
    <mergeCell ref="E109:N109"/>
    <mergeCell ref="D50:F50"/>
    <mergeCell ref="D51:F51"/>
    <mergeCell ref="D123:F123"/>
    <mergeCell ref="D124:F124"/>
    <mergeCell ref="D125:F125"/>
    <mergeCell ref="D126:F126"/>
    <mergeCell ref="D115:F115"/>
    <mergeCell ref="D116:F116"/>
    <mergeCell ref="D117:F117"/>
    <mergeCell ref="D118:F118"/>
    <mergeCell ref="D10:J10"/>
    <mergeCell ref="D83:J83"/>
    <mergeCell ref="D44:F44"/>
    <mergeCell ref="D45:F45"/>
    <mergeCell ref="D104:F104"/>
    <mergeCell ref="D105:F105"/>
    <mergeCell ref="D80:G80"/>
    <mergeCell ref="D47:F47"/>
    <mergeCell ref="D59:F59"/>
    <mergeCell ref="D49:F49"/>
    <mergeCell ref="D152:N152"/>
    <mergeCell ref="E37:N37"/>
    <mergeCell ref="E38:N38"/>
    <mergeCell ref="D113:F113"/>
    <mergeCell ref="D114:F114"/>
    <mergeCell ref="D46:F46"/>
    <mergeCell ref="D52:F52"/>
    <mergeCell ref="D58:F58"/>
    <mergeCell ref="D106:F106"/>
    <mergeCell ref="D107:F107"/>
  </mergeCells>
  <conditionalFormatting sqref="I65:J80 I135:J150">
    <cfRule type="expression" priority="35" dxfId="12" stopIfTrue="1">
      <formula>$Z65</formula>
    </cfRule>
  </conditionalFormatting>
  <conditionalFormatting sqref="D18:F27 D90:F99 G17:N34 G89:N106">
    <cfRule type="expression" priority="32" dxfId="12" stopIfTrue="1">
      <formula>$Z17=TRUE</formula>
    </cfRule>
  </conditionalFormatting>
  <conditionalFormatting sqref="D42:F51">
    <cfRule type="expression" priority="6" dxfId="12" stopIfTrue="1">
      <formula>$Z42=TRUE</formula>
    </cfRule>
  </conditionalFormatting>
  <conditionalFormatting sqref="G112:N112 D113:F122">
    <cfRule type="expression" priority="5" dxfId="12" stopIfTrue="1">
      <formula>$Z112=TRUE</formula>
    </cfRule>
  </conditionalFormatting>
  <conditionalFormatting sqref="G41:N58">
    <cfRule type="expression" priority="2" dxfId="12" stopIfTrue="1">
      <formula>$Z41=TRUE</formula>
    </cfRule>
  </conditionalFormatting>
  <conditionalFormatting sqref="G113:N129">
    <cfRule type="expression" priority="1" dxfId="12" stopIfTrue="1">
      <formula>$Z113=TRUE</formula>
    </cfRule>
  </conditionalFormatting>
  <dataValidations count="1">
    <dataValidation type="list" allowBlank="1" showInputMessage="1" showErrorMessage="1" sqref="E18:F26 D18:D27 E90:F98 D90:D99">
      <formula1>EUconst_BMlistNames</formula1>
    </dataValidation>
  </dataValidations>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A73"/>
  <sheetViews>
    <sheetView zoomScalePageLayoutView="0" workbookViewId="0" topLeftCell="A1">
      <pane ySplit="4" topLeftCell="A5" activePane="bottomLeft" state="frozen"/>
      <selection pane="topLeft" activeCell="F43" sqref="F43"/>
      <selection pane="bottomLeft" activeCell="I2" sqref="I2:J2"/>
    </sheetView>
  </sheetViews>
  <sheetFormatPr defaultColWidth="11.421875" defaultRowHeight="12.75"/>
  <cols>
    <col min="1" max="1" width="4.7109375" style="82" hidden="1" customWidth="1"/>
    <col min="2" max="2" width="2.7109375" style="582" customWidth="1"/>
    <col min="3" max="4" width="4.7109375" style="582" customWidth="1"/>
    <col min="5" max="14" width="12.7109375" style="582" customWidth="1"/>
    <col min="15" max="15" width="4.7109375" style="582" customWidth="1"/>
    <col min="16" max="16" width="11.421875" style="582" hidden="1" customWidth="1"/>
    <col min="17" max="27" width="11.421875" style="512" hidden="1" customWidth="1"/>
    <col min="28" max="16384" width="11.421875" style="582" customWidth="1"/>
  </cols>
  <sheetData>
    <row r="1" spans="1:27" s="4" customFormat="1" ht="13.5" hidden="1" thickBot="1">
      <c r="A1" s="4" t="s">
        <v>484</v>
      </c>
      <c r="P1" s="318" t="s">
        <v>484</v>
      </c>
      <c r="Q1" s="422" t="s">
        <v>484</v>
      </c>
      <c r="R1" s="422" t="s">
        <v>484</v>
      </c>
      <c r="S1" s="439" t="s">
        <v>484</v>
      </c>
      <c r="T1" s="422" t="s">
        <v>484</v>
      </c>
      <c r="U1" s="422" t="s">
        <v>484</v>
      </c>
      <c r="V1" s="422" t="s">
        <v>484</v>
      </c>
      <c r="W1" s="422" t="s">
        <v>484</v>
      </c>
      <c r="X1" s="422" t="s">
        <v>484</v>
      </c>
      <c r="Y1" s="422" t="s">
        <v>484</v>
      </c>
      <c r="Z1" s="422" t="s">
        <v>484</v>
      </c>
      <c r="AA1" s="422" t="s">
        <v>484</v>
      </c>
    </row>
    <row r="2" spans="1:27" s="521" customFormat="1" ht="13.5" customHeight="1" thickBot="1">
      <c r="A2" s="4"/>
      <c r="B2" s="823" t="str">
        <f>Translations!$B$1558</f>
        <v>C. Fusione, scissione, cessione</v>
      </c>
      <c r="C2" s="824"/>
      <c r="D2" s="825"/>
      <c r="E2" s="201" t="str">
        <f>Translations!$B$276</f>
        <v>Area di navigazione:</v>
      </c>
      <c r="F2" s="199"/>
      <c r="G2" s="779" t="str">
        <f>Translations!$B$290</f>
        <v>Indice</v>
      </c>
      <c r="H2" s="683"/>
      <c r="I2" s="683" t="str">
        <f>HYPERLINK(U2,Translations!$B$291)</f>
        <v>Foglio precedente</v>
      </c>
      <c r="J2" s="683"/>
      <c r="K2" s="683" t="str">
        <f>HYPERLINK(W2,Translations!$B$277)</f>
        <v>Foglio successivo</v>
      </c>
      <c r="L2" s="683"/>
      <c r="M2" s="683" t="str">
        <f>HYPERLINK(Y2,Translations!$B$278)</f>
        <v>Sintesi </v>
      </c>
      <c r="N2" s="684"/>
      <c r="O2" s="9"/>
      <c r="P2" s="9"/>
      <c r="Q2" s="440" t="s">
        <v>552</v>
      </c>
      <c r="R2" s="440"/>
      <c r="S2" s="677"/>
      <c r="T2" s="678"/>
      <c r="U2" s="679" t="str">
        <f>"#"&amp;ADDRESS(ROW(C6),COLUMN(C6),,,B_InitialSituation!Q3)</f>
        <v>#B_InitialSituation!$C$6</v>
      </c>
      <c r="V2" s="678"/>
      <c r="W2" s="679" t="str">
        <f>"#"&amp;ADDRESS(ROW(C6),COLUMN(C6),,,D_Summary!Q3)</f>
        <v>#D_Summary!$C$6</v>
      </c>
      <c r="X2" s="678"/>
      <c r="Y2" s="679" t="str">
        <f>"#"&amp;ADDRESS(ROW(C6),COLUMN(C6),,,D_Summary!Q3)</f>
        <v>#D_Summary!$C$6</v>
      </c>
      <c r="Z2" s="680"/>
      <c r="AA2" s="422"/>
    </row>
    <row r="3" spans="1:27" s="521" customFormat="1" ht="13.5" thickBot="1">
      <c r="A3" s="4"/>
      <c r="B3" s="826"/>
      <c r="C3" s="827"/>
      <c r="D3" s="828"/>
      <c r="E3" s="683" t="str">
        <f>HYPERLINK(R3,Translations!$B$279)</f>
        <v>Inizio foglio</v>
      </c>
      <c r="F3" s="745"/>
      <c r="G3" s="780" t="str">
        <f>HYPERLINK(S3,Translations!$B$1500)</f>
        <v>Impianto 1</v>
      </c>
      <c r="H3" s="741"/>
      <c r="I3" s="740" t="str">
        <f>HYPERLINK(U3,Translations!$B$1501)</f>
        <v>Impianto 2</v>
      </c>
      <c r="J3" s="741"/>
      <c r="K3" s="740"/>
      <c r="L3" s="741"/>
      <c r="M3" s="740"/>
      <c r="N3" s="741"/>
      <c r="O3" s="9"/>
      <c r="P3" s="9"/>
      <c r="Q3" s="498" t="str">
        <f ca="1">IF(ISERROR(CELL("filename",Q1)),"C_MergerSplitTransfer",MID(CELL("filename",Q1),FIND("]",CELL("filename",Q1))+1,1024))</f>
        <v>C_MergerSplitTransfer</v>
      </c>
      <c r="R3" s="499" t="str">
        <f>"#"&amp;ADDRESS(ROW(C6),COLUMN(C6))</f>
        <v>#$C$6</v>
      </c>
      <c r="S3" s="717" t="str">
        <f>"#"&amp;ADDRESS(ROW(C10),COLUMN(C10))</f>
        <v>#$C$10</v>
      </c>
      <c r="T3" s="718"/>
      <c r="U3" s="719" t="str">
        <f>"#"&amp;ADDRESS(ROW(C39),COLUMN(C39))</f>
        <v>#$C$39</v>
      </c>
      <c r="V3" s="718"/>
      <c r="W3" s="719"/>
      <c r="X3" s="718"/>
      <c r="Y3" s="719"/>
      <c r="Z3" s="720"/>
      <c r="AA3" s="422"/>
    </row>
    <row r="4" spans="1:27" s="521" customFormat="1" ht="13.5" customHeight="1" thickBot="1">
      <c r="A4" s="4"/>
      <c r="B4" s="829"/>
      <c r="C4" s="830"/>
      <c r="D4" s="831"/>
      <c r="E4" s="683" t="str">
        <f>HYPERLINK(R4,Translations!$B$280)</f>
        <v>Fine foglio</v>
      </c>
      <c r="F4" s="683"/>
      <c r="G4" s="742"/>
      <c r="H4" s="743"/>
      <c r="I4" s="744"/>
      <c r="J4" s="743"/>
      <c r="K4" s="744"/>
      <c r="L4" s="743"/>
      <c r="M4" s="744"/>
      <c r="N4" s="743"/>
      <c r="O4" s="9"/>
      <c r="P4" s="9"/>
      <c r="Q4" s="440"/>
      <c r="R4" s="500" t="str">
        <f>"#"&amp;ADDRESS(ROW(D67),COLUMN(D67))</f>
        <v>#$D$67</v>
      </c>
      <c r="S4" s="711"/>
      <c r="T4" s="712"/>
      <c r="U4" s="713"/>
      <c r="V4" s="712"/>
      <c r="W4" s="713"/>
      <c r="X4" s="712"/>
      <c r="Y4" s="713"/>
      <c r="Z4" s="714"/>
      <c r="AA4" s="422"/>
    </row>
    <row r="5" spans="1:27" s="521" customFormat="1" ht="12.75">
      <c r="A5" s="4"/>
      <c r="B5" s="5"/>
      <c r="C5" s="6"/>
      <c r="D5" s="7"/>
      <c r="E5" s="7"/>
      <c r="F5" s="8"/>
      <c r="G5" s="8"/>
      <c r="H5" s="8"/>
      <c r="I5" s="5"/>
      <c r="J5" s="5"/>
      <c r="K5" s="5"/>
      <c r="L5" s="5"/>
      <c r="M5" s="9"/>
      <c r="N5" s="9"/>
      <c r="O5" s="9"/>
      <c r="P5" s="9"/>
      <c r="Q5" s="440"/>
      <c r="R5" s="422"/>
      <c r="S5" s="422"/>
      <c r="T5" s="422"/>
      <c r="U5" s="422"/>
      <c r="V5" s="422"/>
      <c r="W5" s="422"/>
      <c r="X5" s="422"/>
      <c r="Y5" s="422"/>
      <c r="Z5" s="422"/>
      <c r="AA5" s="422"/>
    </row>
    <row r="6" spans="1:27" s="521" customFormat="1" ht="23.25" customHeight="1">
      <c r="A6" s="4"/>
      <c r="B6" s="5"/>
      <c r="C6" s="11" t="s">
        <v>349</v>
      </c>
      <c r="D6" s="781" t="str">
        <f>Translations!$B$1559</f>
        <v>Scheda "Fusione, scissione e cessione"</v>
      </c>
      <c r="E6" s="724"/>
      <c r="F6" s="724"/>
      <c r="G6" s="724"/>
      <c r="H6" s="724"/>
      <c r="I6" s="724"/>
      <c r="J6" s="724"/>
      <c r="K6" s="724"/>
      <c r="L6" s="724"/>
      <c r="M6" s="724"/>
      <c r="N6" s="724"/>
      <c r="O6" s="9"/>
      <c r="P6" s="9"/>
      <c r="Q6" s="441" t="s">
        <v>332</v>
      </c>
      <c r="R6" s="441" t="s">
        <v>332</v>
      </c>
      <c r="S6" s="441" t="s">
        <v>332</v>
      </c>
      <c r="T6" s="441" t="s">
        <v>332</v>
      </c>
      <c r="U6" s="441" t="s">
        <v>332</v>
      </c>
      <c r="V6" s="441" t="s">
        <v>332</v>
      </c>
      <c r="W6" s="441" t="s">
        <v>332</v>
      </c>
      <c r="X6" s="441" t="s">
        <v>332</v>
      </c>
      <c r="Y6" s="441" t="s">
        <v>332</v>
      </c>
      <c r="Z6" s="441" t="s">
        <v>332</v>
      </c>
      <c r="AA6" s="422"/>
    </row>
    <row r="7" spans="1:27" s="521" customFormat="1" ht="12.75" customHeight="1">
      <c r="A7" s="4"/>
      <c r="B7" s="5"/>
      <c r="C7" s="7"/>
      <c r="D7" s="5"/>
      <c r="E7" s="5"/>
      <c r="F7" s="5"/>
      <c r="G7" s="5"/>
      <c r="H7" s="5"/>
      <c r="I7" s="5"/>
      <c r="J7" s="5"/>
      <c r="K7" s="5"/>
      <c r="L7" s="5"/>
      <c r="M7" s="9"/>
      <c r="N7" s="9"/>
      <c r="O7" s="314"/>
      <c r="P7" s="9"/>
      <c r="Q7" s="440"/>
      <c r="R7" s="454"/>
      <c r="S7" s="422"/>
      <c r="T7" s="422"/>
      <c r="U7" s="422"/>
      <c r="V7" s="422"/>
      <c r="W7" s="422"/>
      <c r="X7" s="422"/>
      <c r="Y7" s="422"/>
      <c r="Z7" s="422"/>
      <c r="AA7" s="422"/>
    </row>
    <row r="8" spans="1:27" s="523" customFormat="1" ht="18" customHeight="1">
      <c r="A8" s="370"/>
      <c r="B8" s="208"/>
      <c r="C8" s="315" t="s">
        <v>131</v>
      </c>
      <c r="D8" s="331" t="str">
        <f>Translations!$B$1560</f>
        <v>Cessione di quote, di capacità e di livello di attività</v>
      </c>
      <c r="E8" s="331"/>
      <c r="F8" s="331"/>
      <c r="G8" s="331"/>
      <c r="H8" s="331"/>
      <c r="I8" s="331"/>
      <c r="J8" s="331"/>
      <c r="K8" s="331"/>
      <c r="L8" s="331"/>
      <c r="M8" s="331"/>
      <c r="N8" s="331"/>
      <c r="O8" s="209"/>
      <c r="P8" s="209"/>
      <c r="Q8" s="362" t="s">
        <v>332</v>
      </c>
      <c r="R8" s="362" t="s">
        <v>332</v>
      </c>
      <c r="S8" s="362" t="s">
        <v>332</v>
      </c>
      <c r="T8" s="362" t="s">
        <v>332</v>
      </c>
      <c r="U8" s="362" t="s">
        <v>332</v>
      </c>
      <c r="V8" s="362" t="s">
        <v>332</v>
      </c>
      <c r="W8" s="362" t="s">
        <v>332</v>
      </c>
      <c r="X8" s="362" t="s">
        <v>332</v>
      </c>
      <c r="Y8" s="362" t="s">
        <v>332</v>
      </c>
      <c r="Z8" s="362" t="s">
        <v>332</v>
      </c>
      <c r="AA8" s="362"/>
    </row>
    <row r="9" spans="1:27" s="521" customFormat="1" ht="12.75" customHeight="1">
      <c r="A9" s="4"/>
      <c r="B9" s="5"/>
      <c r="C9" s="5"/>
      <c r="D9" s="5"/>
      <c r="E9" s="5"/>
      <c r="F9" s="5"/>
      <c r="G9" s="5"/>
      <c r="H9" s="5"/>
      <c r="I9" s="5"/>
      <c r="J9" s="5"/>
      <c r="K9" s="5"/>
      <c r="L9" s="5"/>
      <c r="M9" s="9"/>
      <c r="N9" s="9"/>
      <c r="O9" s="9"/>
      <c r="P9" s="9"/>
      <c r="Q9" s="440"/>
      <c r="R9" s="422"/>
      <c r="S9" s="422"/>
      <c r="T9" s="422"/>
      <c r="U9" s="422"/>
      <c r="V9" s="422"/>
      <c r="W9" s="422"/>
      <c r="X9" s="422"/>
      <c r="Y9" s="422"/>
      <c r="Z9" s="422"/>
      <c r="AA9" s="422"/>
    </row>
    <row r="10" spans="1:27" s="524" customFormat="1" ht="18" customHeight="1">
      <c r="A10" s="207"/>
      <c r="B10" s="332"/>
      <c r="C10" s="336">
        <v>1</v>
      </c>
      <c r="D10" s="973" t="str">
        <f>Translations!$B$1495&amp;" "&amp;C10</f>
        <v>Trasferimento dall’impianto 1</v>
      </c>
      <c r="E10" s="997"/>
      <c r="F10" s="997"/>
      <c r="G10" s="997"/>
      <c r="H10" s="997"/>
      <c r="I10" s="997"/>
      <c r="J10" s="997"/>
      <c r="K10" s="997"/>
      <c r="L10" s="997"/>
      <c r="M10" s="997"/>
      <c r="N10" s="997"/>
      <c r="O10" s="332"/>
      <c r="P10" s="332"/>
      <c r="Q10" s="444"/>
      <c r="R10" s="444"/>
      <c r="S10" s="444"/>
      <c r="T10" s="444"/>
      <c r="U10" s="444"/>
      <c r="V10" s="444"/>
      <c r="W10" s="444"/>
      <c r="X10" s="444"/>
      <c r="Y10" s="444"/>
      <c r="Z10" s="444"/>
      <c r="AA10" s="444"/>
    </row>
    <row r="11" spans="1:27" s="521" customFormat="1" ht="15">
      <c r="A11" s="4"/>
      <c r="B11" s="18"/>
      <c r="C11" s="16"/>
      <c r="D11" s="784" t="str">
        <f>Translations!$B$1561</f>
        <v>Si prega di inserire qui la percentuale di quote, di capacità e di livello di attività trasferite dal primo impianto.</v>
      </c>
      <c r="E11" s="724"/>
      <c r="F11" s="724"/>
      <c r="G11" s="724"/>
      <c r="H11" s="724"/>
      <c r="I11" s="724"/>
      <c r="J11" s="724"/>
      <c r="K11" s="724"/>
      <c r="L11" s="724"/>
      <c r="M11" s="724"/>
      <c r="N11" s="7"/>
      <c r="O11" s="7"/>
      <c r="P11" s="18"/>
      <c r="Q11" s="422"/>
      <c r="R11" s="422"/>
      <c r="S11" s="422"/>
      <c r="T11" s="422"/>
      <c r="U11" s="422"/>
      <c r="V11" s="422"/>
      <c r="W11" s="422"/>
      <c r="X11" s="422"/>
      <c r="Y11" s="422"/>
      <c r="Z11" s="422"/>
      <c r="AA11" s="422"/>
    </row>
    <row r="12" spans="1:27" s="521" customFormat="1" ht="4.5" customHeight="1">
      <c r="A12" s="4"/>
      <c r="B12" s="18"/>
      <c r="C12" s="16"/>
      <c r="D12" s="7"/>
      <c r="E12" s="7"/>
      <c r="F12" s="7"/>
      <c r="G12" s="7"/>
      <c r="H12" s="7"/>
      <c r="I12" s="7"/>
      <c r="J12" s="7"/>
      <c r="K12" s="7"/>
      <c r="L12" s="7"/>
      <c r="M12" s="7"/>
      <c r="N12" s="7"/>
      <c r="O12" s="7"/>
      <c r="P12" s="18"/>
      <c r="Q12" s="422"/>
      <c r="R12" s="422"/>
      <c r="S12" s="422"/>
      <c r="T12" s="422"/>
      <c r="U12" s="422"/>
      <c r="V12" s="422"/>
      <c r="W12" s="422"/>
      <c r="X12" s="422"/>
      <c r="Y12" s="422"/>
      <c r="Z12" s="422"/>
      <c r="AA12" s="422"/>
    </row>
    <row r="13" spans="1:27" s="521" customFormat="1" ht="13.5" thickBot="1">
      <c r="A13" s="4"/>
      <c r="B13" s="18"/>
      <c r="C13" s="7"/>
      <c r="D13" s="7"/>
      <c r="E13" s="7"/>
      <c r="F13" s="7"/>
      <c r="G13" s="7"/>
      <c r="H13" s="381" t="str">
        <f>Translations!$B$1562</f>
        <v>da:</v>
      </c>
      <c r="I13" s="7"/>
      <c r="J13" s="7"/>
      <c r="K13" s="7"/>
      <c r="L13" s="7"/>
      <c r="M13" s="7"/>
      <c r="N13" s="18"/>
      <c r="O13" s="3"/>
      <c r="P13" s="18"/>
      <c r="Q13" s="422"/>
      <c r="R13" s="422"/>
      <c r="S13" s="422"/>
      <c r="T13" s="422"/>
      <c r="U13" s="422"/>
      <c r="V13" s="422"/>
      <c r="W13" s="422"/>
      <c r="X13" s="422"/>
      <c r="Y13" s="422"/>
      <c r="Z13" s="422"/>
      <c r="AA13" s="422"/>
    </row>
    <row r="14" spans="1:27" s="524" customFormat="1" ht="25.5" customHeight="1" thickBot="1">
      <c r="A14" s="207"/>
      <c r="B14" s="208"/>
      <c r="C14" s="334"/>
      <c r="D14" s="208"/>
      <c r="E14" s="7"/>
      <c r="F14" s="7"/>
      <c r="G14" s="7"/>
      <c r="H14" s="977">
        <f>INDEX(A_InstallationData!$J$200:$J$273,MATCH(C10,A_InstallationData!$R$200:$R$273,0))</f>
      </c>
      <c r="I14" s="978"/>
      <c r="J14" s="979"/>
      <c r="K14" s="7"/>
      <c r="L14" s="7"/>
      <c r="M14" s="7"/>
      <c r="N14" s="337"/>
      <c r="O14" s="9"/>
      <c r="P14" s="9"/>
      <c r="Q14" s="457">
        <f>C10</f>
        <v>1</v>
      </c>
      <c r="R14" s="444"/>
      <c r="S14" s="444"/>
      <c r="T14" s="444"/>
      <c r="U14" s="444"/>
      <c r="V14" s="444"/>
      <c r="W14" s="444"/>
      <c r="X14" s="444"/>
      <c r="Y14" s="444"/>
      <c r="Z14" s="443" t="b">
        <f>H14=""</f>
        <v>1</v>
      </c>
      <c r="AA14" s="444"/>
    </row>
    <row r="15" spans="1:27" s="521" customFormat="1" ht="4.5" customHeight="1">
      <c r="A15" s="4"/>
      <c r="B15" s="5"/>
      <c r="C15" s="7"/>
      <c r="D15" s="5"/>
      <c r="E15" s="5"/>
      <c r="F15" s="5"/>
      <c r="G15" s="7"/>
      <c r="H15" s="5"/>
      <c r="I15" s="323"/>
      <c r="J15" s="5"/>
      <c r="K15" s="5"/>
      <c r="L15" s="5"/>
      <c r="M15" s="9"/>
      <c r="N15" s="314"/>
      <c r="O15" s="9"/>
      <c r="P15" s="9"/>
      <c r="Q15" s="440"/>
      <c r="R15" s="422"/>
      <c r="S15" s="422"/>
      <c r="T15" s="422"/>
      <c r="U15" s="422"/>
      <c r="V15" s="422"/>
      <c r="W15" s="422"/>
      <c r="X15" s="422"/>
      <c r="Y15" s="422"/>
      <c r="Z15" s="422"/>
      <c r="AA15" s="422"/>
    </row>
    <row r="16" spans="1:27" s="521" customFormat="1" ht="12.75" customHeight="1" thickBot="1">
      <c r="A16" s="4"/>
      <c r="B16" s="5"/>
      <c r="C16" s="7"/>
      <c r="D16" s="5"/>
      <c r="E16" s="5"/>
      <c r="F16" s="5"/>
      <c r="G16" s="7"/>
      <c r="H16" s="415" t="str">
        <f>Translations!$B$1563</f>
        <v>a:</v>
      </c>
      <c r="I16" s="416"/>
      <c r="J16" s="41"/>
      <c r="K16" s="415" t="str">
        <f>Translations!$B$1563</f>
        <v>a:</v>
      </c>
      <c r="L16" s="7"/>
      <c r="M16" s="7"/>
      <c r="N16" s="314"/>
      <c r="O16" s="9"/>
      <c r="P16" s="9"/>
      <c r="Q16" s="440"/>
      <c r="R16" s="422"/>
      <c r="S16" s="422"/>
      <c r="T16" s="422"/>
      <c r="U16" s="422"/>
      <c r="V16" s="422"/>
      <c r="W16" s="422"/>
      <c r="X16" s="422"/>
      <c r="Y16" s="422"/>
      <c r="Z16" s="422"/>
      <c r="AA16" s="422"/>
    </row>
    <row r="17" spans="1:27" s="521" customFormat="1" ht="25.5" customHeight="1" thickBot="1">
      <c r="A17" s="4"/>
      <c r="B17" s="5"/>
      <c r="C17" s="5"/>
      <c r="D17" s="5"/>
      <c r="E17" s="5"/>
      <c r="F17" s="5"/>
      <c r="G17" s="7"/>
      <c r="H17" s="977">
        <f>IF($H14="","",INDEX(A_InstallationData!$J$200:$J$273,MATCH(R17,A_InstallationData!$R$200:$R$273,0)))</f>
      </c>
      <c r="I17" s="978"/>
      <c r="J17" s="979"/>
      <c r="K17" s="977">
        <f>IF($H14="","",INDEX(A_InstallationData!$J$200:$J$273,MATCH(U17,A_InstallationData!$R$200:$R$273,0)))</f>
      </c>
      <c r="L17" s="978"/>
      <c r="M17" s="979"/>
      <c r="N17" s="9"/>
      <c r="O17" s="9"/>
      <c r="P17" s="9"/>
      <c r="Q17" s="440"/>
      <c r="R17" s="494">
        <v>3</v>
      </c>
      <c r="S17" s="422"/>
      <c r="T17" s="422"/>
      <c r="U17" s="494">
        <v>4</v>
      </c>
      <c r="V17" s="448" t="s">
        <v>545</v>
      </c>
      <c r="W17" s="422"/>
      <c r="X17" s="422"/>
      <c r="Y17" s="422"/>
      <c r="Z17" s="422"/>
      <c r="AA17" s="422"/>
    </row>
    <row r="18" spans="1:27" s="521" customFormat="1" ht="38.25" customHeight="1" thickBot="1">
      <c r="A18" s="4"/>
      <c r="B18" s="5"/>
      <c r="C18" s="20"/>
      <c r="D18" s="989" t="str">
        <f>Translations!$B$440</f>
        <v>Sottoimpianto</v>
      </c>
      <c r="E18" s="990"/>
      <c r="F18" s="990"/>
      <c r="G18" s="325"/>
      <c r="H18" s="417" t="str">
        <f>Translations!$B$1564</f>
        <v>Quota</v>
      </c>
      <c r="I18" s="348" t="str">
        <f>Translations!$B$1565</f>
        <v>Capacità installata</v>
      </c>
      <c r="J18" s="419" t="str">
        <f>Translations!$B$1566</f>
        <v>Livello di attività annuale</v>
      </c>
      <c r="K18" s="420" t="str">
        <f>Translations!$B$1564</f>
        <v>Quota</v>
      </c>
      <c r="L18" s="66" t="str">
        <f>Translations!$B$1565</f>
        <v>Capacità installata</v>
      </c>
      <c r="M18" s="421" t="str">
        <f>Translations!$B$1566</f>
        <v>Livello di attività annuale</v>
      </c>
      <c r="N18" s="585" t="str">
        <f>Translations!$B$1103</f>
        <v>messaggio di errore</v>
      </c>
      <c r="O18" s="9"/>
      <c r="P18" s="9"/>
      <c r="Q18" s="440"/>
      <c r="R18" s="422"/>
      <c r="S18" s="422"/>
      <c r="T18" s="422"/>
      <c r="U18" s="422"/>
      <c r="V18" s="448"/>
      <c r="W18" s="422"/>
      <c r="X18" s="422"/>
      <c r="Y18" s="422"/>
      <c r="Z18" s="446" t="s">
        <v>299</v>
      </c>
      <c r="AA18" s="422"/>
    </row>
    <row r="19" spans="1:27" s="521" customFormat="1" ht="12.75" customHeight="1" thickBot="1">
      <c r="A19" s="4"/>
      <c r="B19" s="5"/>
      <c r="C19" s="418">
        <v>0</v>
      </c>
      <c r="D19" s="991" t="str">
        <f>Translations!$B$1447</f>
        <v>Fase prima dell'avvio</v>
      </c>
      <c r="E19" s="992"/>
      <c r="F19" s="992"/>
      <c r="G19" s="993"/>
      <c r="H19" s="460"/>
      <c r="I19" s="461"/>
      <c r="J19" s="462"/>
      <c r="K19" s="463">
        <f aca="true" t="shared" si="0" ref="K19:K36">IF(H19="","",1-H19)</f>
      </c>
      <c r="L19" s="464"/>
      <c r="M19" s="465"/>
      <c r="N19" s="466">
        <f aca="true" t="shared" si="1" ref="N19:N36">IF(AND($Z19=TRUE,H19=""),EUconst_Incomplete,IF(H19&gt;1,EUconst_Inconsistent,""))</f>
      </c>
      <c r="O19" s="9"/>
      <c r="P19" s="480"/>
      <c r="Q19" s="440"/>
      <c r="R19" s="422"/>
      <c r="S19" s="422"/>
      <c r="T19" s="450" t="str">
        <f aca="true" t="shared" si="2" ref="T19:T36">EUconst_CNTR_Finitial&amp;$V19&amp;"_"&amp;$D19</f>
        <v>FInitial_1_Fase prima dell'avvio</v>
      </c>
      <c r="U19" s="422"/>
      <c r="V19" s="451">
        <f>C10</f>
        <v>1</v>
      </c>
      <c r="W19" s="422"/>
      <c r="X19" s="422"/>
      <c r="Y19" s="422"/>
      <c r="Z19" s="447" t="b">
        <f>INDEX(B_InitialSituation!$X$9:$X$153,MATCH($T19,B_InitialSituation!$Q$9:$Q$153,0))</f>
        <v>0</v>
      </c>
      <c r="AA19" s="422"/>
    </row>
    <row r="20" spans="1:27" s="521" customFormat="1" ht="12.75" customHeight="1">
      <c r="A20" s="4"/>
      <c r="B20" s="5"/>
      <c r="C20" s="29">
        <v>1</v>
      </c>
      <c r="D20" s="994">
        <f>INDEX(B_InitialSituation!$D$9:$D$153,MATCH($S20,B_InitialSituation!$S$9:$S$153,0))</f>
      </c>
      <c r="E20" s="995"/>
      <c r="F20" s="995"/>
      <c r="G20" s="996"/>
      <c r="H20" s="467"/>
      <c r="I20" s="487">
        <f>IF(H20="","",H20*INDEX(B_InitialSituation!$I$9:$I$153,MATCH($Q20,B_InitialSituation!$Q$9:$Q$153,0)))</f>
      </c>
      <c r="J20" s="487">
        <f>IF(H20="","",H20*INDEX(B_InitialSituation!$J$9:$J$153,MATCH($R20,B_InitialSituation!$R$9:$R$153,0)))</f>
      </c>
      <c r="K20" s="468">
        <f t="shared" si="0"/>
      </c>
      <c r="L20" s="487">
        <f>IF(K20="","",K20*INDEX(B_InitialSituation!$I$9:$I$153,MATCH($Q20,B_InitialSituation!$Q$9:$Q$153,0)))</f>
      </c>
      <c r="M20" s="487">
        <f>IF(K20="","",K20*INDEX(B_InitialSituation!$J$9:$J$153,MATCH($R20,B_InitialSituation!$R$9:$R$153,0)))</f>
      </c>
      <c r="N20" s="469">
        <f t="shared" si="1"/>
      </c>
      <c r="O20" s="9"/>
      <c r="P20" s="9"/>
      <c r="Q20" s="450" t="str">
        <f aca="true" t="shared" si="3" ref="Q20:Q35">EUconst_CNTR_CAPINI&amp;$V20&amp;"_"&amp;$D20</f>
        <v>CAPINI_1_</v>
      </c>
      <c r="R20" s="450" t="str">
        <f aca="true" t="shared" si="4" ref="R20:R35">EUconst_CNTR_HAL&amp;$V20&amp;"_"&amp;$D20</f>
        <v>HAL_1_</v>
      </c>
      <c r="S20" s="450" t="str">
        <f aca="true" t="shared" si="5" ref="S20:S35">EUconst_CNTR_HAL&amp;$V20&amp;"_"&amp;$C20</f>
        <v>HAL_1_1</v>
      </c>
      <c r="T20" s="450" t="str">
        <f t="shared" si="2"/>
        <v>FInitial_1_</v>
      </c>
      <c r="U20" s="450" t="str">
        <f aca="true" t="shared" si="6" ref="U20:U35">EUconst_CNTR_CAPINI&amp;$D20</f>
        <v>CAPINI_</v>
      </c>
      <c r="V20" s="452">
        <f aca="true" t="shared" si="7" ref="V20:V36">V19</f>
        <v>1</v>
      </c>
      <c r="W20" s="422"/>
      <c r="X20" s="422"/>
      <c r="Y20" s="422"/>
      <c r="Z20" s="447" t="b">
        <f>INDEX(B_InitialSituation!$X$9:$X$153,MATCH($T20,B_InitialSituation!$Q$9:$Q$153,0))</f>
        <v>0</v>
      </c>
      <c r="AA20" s="422"/>
    </row>
    <row r="21" spans="1:27" s="521" customFormat="1" ht="12.75" customHeight="1">
      <c r="A21" s="4"/>
      <c r="B21" s="5"/>
      <c r="C21" s="29">
        <v>2</v>
      </c>
      <c r="D21" s="974">
        <f>INDEX(B_InitialSituation!$D$9:$D$153,MATCH($S21,B_InitialSituation!$S$9:$S$153,0))</f>
      </c>
      <c r="E21" s="975"/>
      <c r="F21" s="975"/>
      <c r="G21" s="976"/>
      <c r="H21" s="470"/>
      <c r="I21" s="488">
        <f>IF(H21="","",H21*INDEX(B_InitialSituation!$I$9:$I$153,MATCH($Q21,B_InitialSituation!$Q$9:$Q$153,0)))</f>
      </c>
      <c r="J21" s="488">
        <f>IF(H21="","",H21*INDEX(B_InitialSituation!$J$9:$J$153,MATCH($R21,B_InitialSituation!$R$9:$R$153,0)))</f>
      </c>
      <c r="K21" s="471">
        <f t="shared" si="0"/>
      </c>
      <c r="L21" s="488">
        <f>IF(K21="","",K21*INDEX(B_InitialSituation!$I$9:$I$153,MATCH($Q21,B_InitialSituation!$Q$9:$Q$153,0)))</f>
      </c>
      <c r="M21" s="488">
        <f>IF(K21="","",K21*INDEX(B_InitialSituation!$J$9:$J$153,MATCH($R21,B_InitialSituation!$R$9:$R$153,0)))</f>
      </c>
      <c r="N21" s="472">
        <f t="shared" si="1"/>
      </c>
      <c r="O21" s="9"/>
      <c r="P21" s="9"/>
      <c r="Q21" s="450" t="str">
        <f t="shared" si="3"/>
        <v>CAPINI_1_</v>
      </c>
      <c r="R21" s="450" t="str">
        <f t="shared" si="4"/>
        <v>HAL_1_</v>
      </c>
      <c r="S21" s="450" t="str">
        <f t="shared" si="5"/>
        <v>HAL_1_2</v>
      </c>
      <c r="T21" s="450" t="str">
        <f t="shared" si="2"/>
        <v>FInitial_1_</v>
      </c>
      <c r="U21" s="450" t="str">
        <f t="shared" si="6"/>
        <v>CAPINI_</v>
      </c>
      <c r="V21" s="452">
        <f t="shared" si="7"/>
        <v>1</v>
      </c>
      <c r="W21" s="422"/>
      <c r="X21" s="422"/>
      <c r="Y21" s="422"/>
      <c r="Z21" s="447" t="b">
        <f>INDEX(B_InitialSituation!$X$9:$X$153,MATCH($T21,B_InitialSituation!$Q$9:$Q$153,0))</f>
        <v>0</v>
      </c>
      <c r="AA21" s="422"/>
    </row>
    <row r="22" spans="1:27" s="521" customFormat="1" ht="12.75" customHeight="1">
      <c r="A22" s="4"/>
      <c r="B22" s="5"/>
      <c r="C22" s="29">
        <v>3</v>
      </c>
      <c r="D22" s="974">
        <f>INDEX(B_InitialSituation!$D$9:$D$153,MATCH($S22,B_InitialSituation!$S$9:$S$153,0))</f>
      </c>
      <c r="E22" s="975"/>
      <c r="F22" s="975"/>
      <c r="G22" s="976"/>
      <c r="H22" s="470"/>
      <c r="I22" s="488">
        <f>IF(H22="","",H22*INDEX(B_InitialSituation!$I$9:$I$153,MATCH($Q22,B_InitialSituation!$Q$9:$Q$153,0)))</f>
      </c>
      <c r="J22" s="488">
        <f>IF(H22="","",H22*INDEX(B_InitialSituation!$J$9:$J$153,MATCH($R22,B_InitialSituation!$R$9:$R$153,0)))</f>
      </c>
      <c r="K22" s="471">
        <f t="shared" si="0"/>
      </c>
      <c r="L22" s="488">
        <f>IF(K22="","",K22*INDEX(B_InitialSituation!$I$9:$I$153,MATCH($Q22,B_InitialSituation!$Q$9:$Q$153,0)))</f>
      </c>
      <c r="M22" s="488">
        <f>IF(K22="","",K22*INDEX(B_InitialSituation!$J$9:$J$153,MATCH($R22,B_InitialSituation!$R$9:$R$153,0)))</f>
      </c>
      <c r="N22" s="472">
        <f t="shared" si="1"/>
      </c>
      <c r="O22" s="9"/>
      <c r="P22" s="9"/>
      <c r="Q22" s="450" t="str">
        <f t="shared" si="3"/>
        <v>CAPINI_1_</v>
      </c>
      <c r="R22" s="450" t="str">
        <f t="shared" si="4"/>
        <v>HAL_1_</v>
      </c>
      <c r="S22" s="450" t="str">
        <f t="shared" si="5"/>
        <v>HAL_1_3</v>
      </c>
      <c r="T22" s="450" t="str">
        <f t="shared" si="2"/>
        <v>FInitial_1_</v>
      </c>
      <c r="U22" s="450" t="str">
        <f t="shared" si="6"/>
        <v>CAPINI_</v>
      </c>
      <c r="V22" s="452">
        <f t="shared" si="7"/>
        <v>1</v>
      </c>
      <c r="W22" s="422"/>
      <c r="X22" s="422"/>
      <c r="Y22" s="422"/>
      <c r="Z22" s="447" t="b">
        <f>INDEX(B_InitialSituation!$X$9:$X$153,MATCH($T22,B_InitialSituation!$Q$9:$Q$153,0))</f>
        <v>0</v>
      </c>
      <c r="AA22" s="422"/>
    </row>
    <row r="23" spans="1:27" s="521" customFormat="1" ht="12.75" customHeight="1">
      <c r="A23" s="4"/>
      <c r="B23" s="5"/>
      <c r="C23" s="29">
        <v>4</v>
      </c>
      <c r="D23" s="974">
        <f>INDEX(B_InitialSituation!$D$9:$D$153,MATCH($S23,B_InitialSituation!$S$9:$S$153,0))</f>
      </c>
      <c r="E23" s="975"/>
      <c r="F23" s="975"/>
      <c r="G23" s="976"/>
      <c r="H23" s="470"/>
      <c r="I23" s="488">
        <f>IF(H23="","",H23*INDEX(B_InitialSituation!$I$9:$I$153,MATCH($Q23,B_InitialSituation!$Q$9:$Q$153,0)))</f>
      </c>
      <c r="J23" s="488">
        <f>IF(H23="","",H23*INDEX(B_InitialSituation!$J$9:$J$153,MATCH($R23,B_InitialSituation!$R$9:$R$153,0)))</f>
      </c>
      <c r="K23" s="471">
        <f t="shared" si="0"/>
      </c>
      <c r="L23" s="488">
        <f>IF(K23="","",K23*INDEX(B_InitialSituation!$I$9:$I$153,MATCH($Q23,B_InitialSituation!$Q$9:$Q$153,0)))</f>
      </c>
      <c r="M23" s="488">
        <f>IF(K23="","",K23*INDEX(B_InitialSituation!$J$9:$J$153,MATCH($R23,B_InitialSituation!$R$9:$R$153,0)))</f>
      </c>
      <c r="N23" s="472">
        <f t="shared" si="1"/>
      </c>
      <c r="O23" s="9"/>
      <c r="P23" s="9"/>
      <c r="Q23" s="450" t="str">
        <f t="shared" si="3"/>
        <v>CAPINI_1_</v>
      </c>
      <c r="R23" s="450" t="str">
        <f t="shared" si="4"/>
        <v>HAL_1_</v>
      </c>
      <c r="S23" s="450" t="str">
        <f t="shared" si="5"/>
        <v>HAL_1_4</v>
      </c>
      <c r="T23" s="450" t="str">
        <f t="shared" si="2"/>
        <v>FInitial_1_</v>
      </c>
      <c r="U23" s="450" t="str">
        <f t="shared" si="6"/>
        <v>CAPINI_</v>
      </c>
      <c r="V23" s="452">
        <f t="shared" si="7"/>
        <v>1</v>
      </c>
      <c r="W23" s="422"/>
      <c r="X23" s="422"/>
      <c r="Y23" s="422"/>
      <c r="Z23" s="447" t="b">
        <f>INDEX(B_InitialSituation!$X$9:$X$153,MATCH($T23,B_InitialSituation!$Q$9:$Q$153,0))</f>
        <v>0</v>
      </c>
      <c r="AA23" s="422"/>
    </row>
    <row r="24" spans="1:27" s="521" customFormat="1" ht="12.75" customHeight="1">
      <c r="A24" s="4"/>
      <c r="B24" s="5"/>
      <c r="C24" s="29">
        <v>5</v>
      </c>
      <c r="D24" s="974">
        <f>INDEX(B_InitialSituation!$D$9:$D$153,MATCH($S24,B_InitialSituation!$S$9:$S$153,0))</f>
      </c>
      <c r="E24" s="975"/>
      <c r="F24" s="975"/>
      <c r="G24" s="976"/>
      <c r="H24" s="470"/>
      <c r="I24" s="488">
        <f>IF(H24="","",H24*INDEX(B_InitialSituation!$I$9:$I$153,MATCH($Q24,B_InitialSituation!$Q$9:$Q$153,0)))</f>
      </c>
      <c r="J24" s="488">
        <f>IF(H24="","",H24*INDEX(B_InitialSituation!$J$9:$J$153,MATCH($R24,B_InitialSituation!$R$9:$R$153,0)))</f>
      </c>
      <c r="K24" s="471">
        <f t="shared" si="0"/>
      </c>
      <c r="L24" s="488">
        <f>IF(K24="","",K24*INDEX(B_InitialSituation!$I$9:$I$153,MATCH($Q24,B_InitialSituation!$Q$9:$Q$153,0)))</f>
      </c>
      <c r="M24" s="488">
        <f>IF(K24="","",K24*INDEX(B_InitialSituation!$J$9:$J$153,MATCH($R24,B_InitialSituation!$R$9:$R$153,0)))</f>
      </c>
      <c r="N24" s="472">
        <f t="shared" si="1"/>
      </c>
      <c r="O24" s="9"/>
      <c r="P24" s="9"/>
      <c r="Q24" s="450" t="str">
        <f t="shared" si="3"/>
        <v>CAPINI_1_</v>
      </c>
      <c r="R24" s="450" t="str">
        <f t="shared" si="4"/>
        <v>HAL_1_</v>
      </c>
      <c r="S24" s="450" t="str">
        <f t="shared" si="5"/>
        <v>HAL_1_5</v>
      </c>
      <c r="T24" s="450" t="str">
        <f t="shared" si="2"/>
        <v>FInitial_1_</v>
      </c>
      <c r="U24" s="450" t="str">
        <f t="shared" si="6"/>
        <v>CAPINI_</v>
      </c>
      <c r="V24" s="452">
        <f t="shared" si="7"/>
        <v>1</v>
      </c>
      <c r="W24" s="422"/>
      <c r="X24" s="422"/>
      <c r="Y24" s="422"/>
      <c r="Z24" s="447" t="b">
        <f>INDEX(B_InitialSituation!$X$9:$X$153,MATCH($T24,B_InitialSituation!$Q$9:$Q$153,0))</f>
        <v>0</v>
      </c>
      <c r="AA24" s="422"/>
    </row>
    <row r="25" spans="1:27" s="521" customFormat="1" ht="12.75" customHeight="1">
      <c r="A25" s="4"/>
      <c r="B25" s="5"/>
      <c r="C25" s="29">
        <v>6</v>
      </c>
      <c r="D25" s="974">
        <f>INDEX(B_InitialSituation!$D$9:$D$153,MATCH($S25,B_InitialSituation!$S$9:$S$153,0))</f>
      </c>
      <c r="E25" s="975"/>
      <c r="F25" s="975"/>
      <c r="G25" s="976"/>
      <c r="H25" s="470"/>
      <c r="I25" s="488">
        <f>IF(H25="","",H25*INDEX(B_InitialSituation!$I$9:$I$153,MATCH($Q25,B_InitialSituation!$Q$9:$Q$153,0)))</f>
      </c>
      <c r="J25" s="488">
        <f>IF(H25="","",H25*INDEX(B_InitialSituation!$J$9:$J$153,MATCH($R25,B_InitialSituation!$R$9:$R$153,0)))</f>
      </c>
      <c r="K25" s="471">
        <f t="shared" si="0"/>
      </c>
      <c r="L25" s="488">
        <f>IF(K25="","",K25*INDEX(B_InitialSituation!$I$9:$I$153,MATCH($Q25,B_InitialSituation!$Q$9:$Q$153,0)))</f>
      </c>
      <c r="M25" s="488">
        <f>IF(K25="","",K25*INDEX(B_InitialSituation!$J$9:$J$153,MATCH($R25,B_InitialSituation!$R$9:$R$153,0)))</f>
      </c>
      <c r="N25" s="472">
        <f t="shared" si="1"/>
      </c>
      <c r="O25" s="9"/>
      <c r="P25" s="9"/>
      <c r="Q25" s="450" t="str">
        <f t="shared" si="3"/>
        <v>CAPINI_1_</v>
      </c>
      <c r="R25" s="450" t="str">
        <f t="shared" si="4"/>
        <v>HAL_1_</v>
      </c>
      <c r="S25" s="450" t="str">
        <f t="shared" si="5"/>
        <v>HAL_1_6</v>
      </c>
      <c r="T25" s="450" t="str">
        <f t="shared" si="2"/>
        <v>FInitial_1_</v>
      </c>
      <c r="U25" s="450" t="str">
        <f t="shared" si="6"/>
        <v>CAPINI_</v>
      </c>
      <c r="V25" s="452">
        <f t="shared" si="7"/>
        <v>1</v>
      </c>
      <c r="W25" s="422"/>
      <c r="X25" s="422"/>
      <c r="Y25" s="422"/>
      <c r="Z25" s="447" t="b">
        <f>INDEX(B_InitialSituation!$X$9:$X$153,MATCH($T25,B_InitialSituation!$Q$9:$Q$153,0))</f>
        <v>0</v>
      </c>
      <c r="AA25" s="422"/>
    </row>
    <row r="26" spans="1:27" s="521" customFormat="1" ht="12.75" customHeight="1">
      <c r="A26" s="4"/>
      <c r="B26" s="5"/>
      <c r="C26" s="29">
        <v>7</v>
      </c>
      <c r="D26" s="974">
        <f>INDEX(B_InitialSituation!$D$9:$D$153,MATCH($S26,B_InitialSituation!$S$9:$S$153,0))</f>
      </c>
      <c r="E26" s="975"/>
      <c r="F26" s="975"/>
      <c r="G26" s="976"/>
      <c r="H26" s="470"/>
      <c r="I26" s="488">
        <f>IF(H26="","",H26*INDEX(B_InitialSituation!$I$9:$I$153,MATCH($Q26,B_InitialSituation!$Q$9:$Q$153,0)))</f>
      </c>
      <c r="J26" s="488">
        <f>IF(H26="","",H26*INDEX(B_InitialSituation!$J$9:$J$153,MATCH($R26,B_InitialSituation!$R$9:$R$153,0)))</f>
      </c>
      <c r="K26" s="471">
        <f t="shared" si="0"/>
      </c>
      <c r="L26" s="488">
        <f>IF(K26="","",K26*INDEX(B_InitialSituation!$I$9:$I$153,MATCH($Q26,B_InitialSituation!$Q$9:$Q$153,0)))</f>
      </c>
      <c r="M26" s="488">
        <f>IF(K26="","",K26*INDEX(B_InitialSituation!$J$9:$J$153,MATCH($R26,B_InitialSituation!$R$9:$R$153,0)))</f>
      </c>
      <c r="N26" s="472">
        <f t="shared" si="1"/>
      </c>
      <c r="O26" s="9"/>
      <c r="P26" s="9"/>
      <c r="Q26" s="450" t="str">
        <f t="shared" si="3"/>
        <v>CAPINI_1_</v>
      </c>
      <c r="R26" s="450" t="str">
        <f t="shared" si="4"/>
        <v>HAL_1_</v>
      </c>
      <c r="S26" s="450" t="str">
        <f t="shared" si="5"/>
        <v>HAL_1_7</v>
      </c>
      <c r="T26" s="450" t="str">
        <f t="shared" si="2"/>
        <v>FInitial_1_</v>
      </c>
      <c r="U26" s="450" t="str">
        <f t="shared" si="6"/>
        <v>CAPINI_</v>
      </c>
      <c r="V26" s="452">
        <f t="shared" si="7"/>
        <v>1</v>
      </c>
      <c r="W26" s="422"/>
      <c r="X26" s="422"/>
      <c r="Y26" s="422"/>
      <c r="Z26" s="447" t="b">
        <f>INDEX(B_InitialSituation!$X$9:$X$153,MATCH($T26,B_InitialSituation!$Q$9:$Q$153,0))</f>
        <v>0</v>
      </c>
      <c r="AA26" s="422"/>
    </row>
    <row r="27" spans="1:27" s="521" customFormat="1" ht="12.75" customHeight="1">
      <c r="A27" s="4"/>
      <c r="B27" s="5"/>
      <c r="C27" s="29">
        <v>8</v>
      </c>
      <c r="D27" s="974">
        <f>INDEX(B_InitialSituation!$D$9:$D$153,MATCH($S27,B_InitialSituation!$S$9:$S$153,0))</f>
      </c>
      <c r="E27" s="975"/>
      <c r="F27" s="975"/>
      <c r="G27" s="976"/>
      <c r="H27" s="470"/>
      <c r="I27" s="488">
        <f>IF(H27="","",H27*INDEX(B_InitialSituation!$I$9:$I$153,MATCH($Q27,B_InitialSituation!$Q$9:$Q$153,0)))</f>
      </c>
      <c r="J27" s="488">
        <f>IF(H27="","",H27*INDEX(B_InitialSituation!$J$9:$J$153,MATCH($R27,B_InitialSituation!$R$9:$R$153,0)))</f>
      </c>
      <c r="K27" s="471">
        <f t="shared" si="0"/>
      </c>
      <c r="L27" s="488">
        <f>IF(K27="","",K27*INDEX(B_InitialSituation!$I$9:$I$153,MATCH($Q27,B_InitialSituation!$Q$9:$Q$153,0)))</f>
      </c>
      <c r="M27" s="488">
        <f>IF(K27="","",K27*INDEX(B_InitialSituation!$J$9:$J$153,MATCH($R27,B_InitialSituation!$R$9:$R$153,0)))</f>
      </c>
      <c r="N27" s="472">
        <f t="shared" si="1"/>
      </c>
      <c r="O27" s="9"/>
      <c r="P27" s="9"/>
      <c r="Q27" s="450" t="str">
        <f t="shared" si="3"/>
        <v>CAPINI_1_</v>
      </c>
      <c r="R27" s="450" t="str">
        <f t="shared" si="4"/>
        <v>HAL_1_</v>
      </c>
      <c r="S27" s="450" t="str">
        <f t="shared" si="5"/>
        <v>HAL_1_8</v>
      </c>
      <c r="T27" s="450" t="str">
        <f t="shared" si="2"/>
        <v>FInitial_1_</v>
      </c>
      <c r="U27" s="450" t="str">
        <f t="shared" si="6"/>
        <v>CAPINI_</v>
      </c>
      <c r="V27" s="452">
        <f t="shared" si="7"/>
        <v>1</v>
      </c>
      <c r="W27" s="422"/>
      <c r="X27" s="422"/>
      <c r="Y27" s="422"/>
      <c r="Z27" s="447" t="b">
        <f>INDEX(B_InitialSituation!$X$9:$X$153,MATCH($T27,B_InitialSituation!$Q$9:$Q$153,0))</f>
        <v>0</v>
      </c>
      <c r="AA27" s="422"/>
    </row>
    <row r="28" spans="1:27" s="521" customFormat="1" ht="12.75" customHeight="1">
      <c r="A28" s="4"/>
      <c r="B28" s="5"/>
      <c r="C28" s="29">
        <v>9</v>
      </c>
      <c r="D28" s="974">
        <f>INDEX(B_InitialSituation!$D$9:$D$153,MATCH($S28,B_InitialSituation!$S$9:$S$153,0))</f>
      </c>
      <c r="E28" s="975"/>
      <c r="F28" s="975"/>
      <c r="G28" s="976"/>
      <c r="H28" s="470"/>
      <c r="I28" s="488">
        <f>IF(H28="","",H28*INDEX(B_InitialSituation!$I$9:$I$153,MATCH($Q28,B_InitialSituation!$Q$9:$Q$153,0)))</f>
      </c>
      <c r="J28" s="488">
        <f>IF(H28="","",H28*INDEX(B_InitialSituation!$J$9:$J$153,MATCH($R28,B_InitialSituation!$R$9:$R$153,0)))</f>
      </c>
      <c r="K28" s="471">
        <f t="shared" si="0"/>
      </c>
      <c r="L28" s="488">
        <f>IF(K28="","",K28*INDEX(B_InitialSituation!$I$9:$I$153,MATCH($Q28,B_InitialSituation!$Q$9:$Q$153,0)))</f>
      </c>
      <c r="M28" s="488">
        <f>IF(K28="","",K28*INDEX(B_InitialSituation!$J$9:$J$153,MATCH($R28,B_InitialSituation!$R$9:$R$153,0)))</f>
      </c>
      <c r="N28" s="472">
        <f t="shared" si="1"/>
      </c>
      <c r="O28" s="9"/>
      <c r="P28" s="9"/>
      <c r="Q28" s="450" t="str">
        <f t="shared" si="3"/>
        <v>CAPINI_1_</v>
      </c>
      <c r="R28" s="450" t="str">
        <f t="shared" si="4"/>
        <v>HAL_1_</v>
      </c>
      <c r="S28" s="450" t="str">
        <f t="shared" si="5"/>
        <v>HAL_1_9</v>
      </c>
      <c r="T28" s="450" t="str">
        <f t="shared" si="2"/>
        <v>FInitial_1_</v>
      </c>
      <c r="U28" s="450" t="str">
        <f t="shared" si="6"/>
        <v>CAPINI_</v>
      </c>
      <c r="V28" s="452">
        <f t="shared" si="7"/>
        <v>1</v>
      </c>
      <c r="W28" s="422"/>
      <c r="X28" s="422"/>
      <c r="Y28" s="422"/>
      <c r="Z28" s="447" t="b">
        <f>INDEX(B_InitialSituation!$X$9:$X$153,MATCH($T28,B_InitialSituation!$Q$9:$Q$153,0))</f>
        <v>0</v>
      </c>
      <c r="AA28" s="422"/>
    </row>
    <row r="29" spans="1:27" s="521" customFormat="1" ht="12.75" customHeight="1">
      <c r="A29" s="4"/>
      <c r="B29" s="5"/>
      <c r="C29" s="25">
        <v>10</v>
      </c>
      <c r="D29" s="986">
        <f>INDEX(B_InitialSituation!$D$9:$D$153,MATCH($S29,B_InitialSituation!$S$9:$S$153,0))</f>
      </c>
      <c r="E29" s="987"/>
      <c r="F29" s="987"/>
      <c r="G29" s="988"/>
      <c r="H29" s="473"/>
      <c r="I29" s="489">
        <f>IF(H29="","",H29*INDEX(B_InitialSituation!$I$9:$I$153,MATCH($Q29,B_InitialSituation!$Q$9:$Q$153,0)))</f>
      </c>
      <c r="J29" s="489">
        <f>IF(H29="","",H29*INDEX(B_InitialSituation!$J$9:$J$153,MATCH($R29,B_InitialSituation!$R$9:$R$153,0)))</f>
      </c>
      <c r="K29" s="474">
        <f t="shared" si="0"/>
      </c>
      <c r="L29" s="489">
        <f>IF(K29="","",K29*INDEX(B_InitialSituation!$I$9:$I$153,MATCH($Q29,B_InitialSituation!$Q$9:$Q$153,0)))</f>
      </c>
      <c r="M29" s="489">
        <f>IF(K29="","",K29*INDEX(B_InitialSituation!$J$9:$J$153,MATCH($R29,B_InitialSituation!$R$9:$R$153,0)))</f>
      </c>
      <c r="N29" s="475">
        <f t="shared" si="1"/>
      </c>
      <c r="O29" s="9"/>
      <c r="P29" s="9"/>
      <c r="Q29" s="450" t="str">
        <f t="shared" si="3"/>
        <v>CAPINI_1_</v>
      </c>
      <c r="R29" s="450" t="str">
        <f t="shared" si="4"/>
        <v>HAL_1_</v>
      </c>
      <c r="S29" s="450" t="str">
        <f t="shared" si="5"/>
        <v>HAL_1_10</v>
      </c>
      <c r="T29" s="450" t="str">
        <f t="shared" si="2"/>
        <v>FInitial_1_</v>
      </c>
      <c r="U29" s="450" t="str">
        <f t="shared" si="6"/>
        <v>CAPINI_</v>
      </c>
      <c r="V29" s="452">
        <f t="shared" si="7"/>
        <v>1</v>
      </c>
      <c r="W29" s="422"/>
      <c r="X29" s="422"/>
      <c r="Y29" s="422"/>
      <c r="Z29" s="447" t="b">
        <f>INDEX(B_InitialSituation!$X$9:$X$153,MATCH($T29,B_InitialSituation!$Q$9:$Q$153,0))</f>
        <v>0</v>
      </c>
      <c r="AA29" s="422"/>
    </row>
    <row r="30" spans="1:27" s="521" customFormat="1" ht="12.75" customHeight="1">
      <c r="A30" s="4"/>
      <c r="B30" s="5"/>
      <c r="C30" s="29">
        <v>11</v>
      </c>
      <c r="D30" s="983" t="str">
        <f aca="true" t="shared" si="8" ref="D30:D35">INDEX(EUconst_FallBackListNames,C30-10)</f>
        <v>Sottoimpianto oggetto di un parametro di riferimento relativo al calore, CL</v>
      </c>
      <c r="E30" s="984"/>
      <c r="F30" s="984"/>
      <c r="G30" s="985"/>
      <c r="H30" s="467"/>
      <c r="I30" s="490">
        <f>IF(H30="","",H30*INDEX(B_InitialSituation!$I$9:$I$153,MATCH($Q30,B_InitialSituation!$Q$9:$Q$153,0)))</f>
      </c>
      <c r="J30" s="490">
        <f>IF(H30="","",H30*INDEX(B_InitialSituation!$J$9:$J$153,MATCH($R30,B_InitialSituation!$R$9:$R$153,0)))</f>
      </c>
      <c r="K30" s="468">
        <f t="shared" si="0"/>
      </c>
      <c r="L30" s="490">
        <f>IF(K30="","",K30*INDEX(B_InitialSituation!$I$9:$I$153,MATCH($Q30,B_InitialSituation!$Q$9:$Q$153,0)))</f>
      </c>
      <c r="M30" s="490">
        <f>IF(K30="","",K30*INDEX(B_InitialSituation!$J$9:$J$153,MATCH($R30,B_InitialSituation!$R$9:$R$153,0)))</f>
      </c>
      <c r="N30" s="469">
        <f t="shared" si="1"/>
      </c>
      <c r="O30" s="9"/>
      <c r="P30" s="9"/>
      <c r="Q30" s="450" t="str">
        <f t="shared" si="3"/>
        <v>CAPINI_1_Sottoimpianto oggetto di un parametro di riferimento relativo al calore, CL</v>
      </c>
      <c r="R30" s="450" t="str">
        <f t="shared" si="4"/>
        <v>HAL_1_Sottoimpianto oggetto di un parametro di riferimento relativo al calore, CL</v>
      </c>
      <c r="S30" s="450" t="str">
        <f t="shared" si="5"/>
        <v>HAL_1_11</v>
      </c>
      <c r="T30" s="450" t="str">
        <f t="shared" si="2"/>
        <v>FInitial_1_Sottoimpianto oggetto di un parametro di riferimento relativo al calore, CL</v>
      </c>
      <c r="U30" s="450" t="str">
        <f t="shared" si="6"/>
        <v>CAPINI_Sottoimpianto oggetto di un parametro di riferimento relativo al calore, CL</v>
      </c>
      <c r="V30" s="452">
        <f t="shared" si="7"/>
        <v>1</v>
      </c>
      <c r="W30" s="422"/>
      <c r="X30" s="422"/>
      <c r="Y30" s="422"/>
      <c r="Z30" s="447" t="b">
        <f>INDEX(B_InitialSituation!$X$9:$X$153,MATCH($T30,B_InitialSituation!$Q$9:$Q$153,0))</f>
        <v>0</v>
      </c>
      <c r="AA30" s="422"/>
    </row>
    <row r="31" spans="1:27" s="521" customFormat="1" ht="12.75" customHeight="1">
      <c r="A31" s="4"/>
      <c r="B31" s="5"/>
      <c r="C31" s="29">
        <v>12</v>
      </c>
      <c r="D31" s="970" t="str">
        <f t="shared" si="8"/>
        <v>Sottoimpianto oggetto di un parametro di riferimento relativo al calore, non CL</v>
      </c>
      <c r="E31" s="971"/>
      <c r="F31" s="971"/>
      <c r="G31" s="972"/>
      <c r="H31" s="470"/>
      <c r="I31" s="488">
        <f>IF(H31="","",H31*INDEX(B_InitialSituation!$I$9:$I$153,MATCH($Q31,B_InitialSituation!$Q$9:$Q$153,0)))</f>
      </c>
      <c r="J31" s="488">
        <f>IF(H31="","",H31*INDEX(B_InitialSituation!$J$9:$J$153,MATCH($R31,B_InitialSituation!$R$9:$R$153,0)))</f>
      </c>
      <c r="K31" s="471">
        <f t="shared" si="0"/>
      </c>
      <c r="L31" s="488">
        <f>IF(K31="","",K31*INDEX(B_InitialSituation!$I$9:$I$153,MATCH($Q31,B_InitialSituation!$Q$9:$Q$153,0)))</f>
      </c>
      <c r="M31" s="488">
        <f>IF(K31="","",K31*INDEX(B_InitialSituation!$J$9:$J$153,MATCH($R31,B_InitialSituation!$R$9:$R$153,0)))</f>
      </c>
      <c r="N31" s="472">
        <f t="shared" si="1"/>
      </c>
      <c r="O31" s="9"/>
      <c r="P31" s="9"/>
      <c r="Q31" s="450" t="str">
        <f t="shared" si="3"/>
        <v>CAPINI_1_Sottoimpianto oggetto di un parametro di riferimento relativo al calore, non CL</v>
      </c>
      <c r="R31" s="450" t="str">
        <f t="shared" si="4"/>
        <v>HAL_1_Sottoimpianto oggetto di un parametro di riferimento relativo al calore, non CL</v>
      </c>
      <c r="S31" s="450" t="str">
        <f t="shared" si="5"/>
        <v>HAL_1_12</v>
      </c>
      <c r="T31" s="450" t="str">
        <f t="shared" si="2"/>
        <v>FInitial_1_Sottoimpianto oggetto di un parametro di riferimento relativo al calore, non CL</v>
      </c>
      <c r="U31" s="450" t="str">
        <f t="shared" si="6"/>
        <v>CAPINI_Sottoimpianto oggetto di un parametro di riferimento relativo al calore, non CL</v>
      </c>
      <c r="V31" s="452">
        <f t="shared" si="7"/>
        <v>1</v>
      </c>
      <c r="W31" s="422"/>
      <c r="X31" s="422"/>
      <c r="Y31" s="422"/>
      <c r="Z31" s="447" t="b">
        <f>INDEX(B_InitialSituation!$X$9:$X$153,MATCH($T31,B_InitialSituation!$Q$9:$Q$153,0))</f>
        <v>0</v>
      </c>
      <c r="AA31" s="422"/>
    </row>
    <row r="32" spans="1:27" s="521" customFormat="1" ht="12.75" customHeight="1">
      <c r="A32" s="4"/>
      <c r="B32" s="5"/>
      <c r="C32" s="29">
        <v>13</v>
      </c>
      <c r="D32" s="970" t="str">
        <f t="shared" si="8"/>
        <v>Sottoimpianto oggetto di un parametro di riferimento relativo al combustibile, CL</v>
      </c>
      <c r="E32" s="971"/>
      <c r="F32" s="971"/>
      <c r="G32" s="972"/>
      <c r="H32" s="470"/>
      <c r="I32" s="488">
        <f>IF(H32="","",H32*INDEX(B_InitialSituation!$I$9:$I$153,MATCH($Q32,B_InitialSituation!$Q$9:$Q$153,0)))</f>
      </c>
      <c r="J32" s="488">
        <f>IF(H32="","",H32*INDEX(B_InitialSituation!$J$9:$J$153,MATCH($R32,B_InitialSituation!$R$9:$R$153,0)))</f>
      </c>
      <c r="K32" s="471">
        <f t="shared" si="0"/>
      </c>
      <c r="L32" s="488">
        <f>IF(K32="","",K32*INDEX(B_InitialSituation!$I$9:$I$153,MATCH($Q32,B_InitialSituation!$Q$9:$Q$153,0)))</f>
      </c>
      <c r="M32" s="488">
        <f>IF(K32="","",K32*INDEX(B_InitialSituation!$J$9:$J$153,MATCH($R32,B_InitialSituation!$R$9:$R$153,0)))</f>
      </c>
      <c r="N32" s="472">
        <f t="shared" si="1"/>
      </c>
      <c r="O32" s="9"/>
      <c r="P32" s="9"/>
      <c r="Q32" s="450" t="str">
        <f t="shared" si="3"/>
        <v>CAPINI_1_Sottoimpianto oggetto di un parametro di riferimento relativo al combustibile, CL</v>
      </c>
      <c r="R32" s="450" t="str">
        <f t="shared" si="4"/>
        <v>HAL_1_Sottoimpianto oggetto di un parametro di riferimento relativo al combustibile, CL</v>
      </c>
      <c r="S32" s="450" t="str">
        <f t="shared" si="5"/>
        <v>HAL_1_13</v>
      </c>
      <c r="T32" s="450" t="str">
        <f t="shared" si="2"/>
        <v>FInitial_1_Sottoimpianto oggetto di un parametro di riferimento relativo al combustibile, CL</v>
      </c>
      <c r="U32" s="450" t="str">
        <f t="shared" si="6"/>
        <v>CAPINI_Sottoimpianto oggetto di un parametro di riferimento relativo al combustibile, CL</v>
      </c>
      <c r="V32" s="452">
        <f t="shared" si="7"/>
        <v>1</v>
      </c>
      <c r="W32" s="422"/>
      <c r="X32" s="422"/>
      <c r="Y32" s="422"/>
      <c r="Z32" s="447" t="b">
        <f>INDEX(B_InitialSituation!$X$9:$X$153,MATCH($T32,B_InitialSituation!$Q$9:$Q$153,0))</f>
        <v>0</v>
      </c>
      <c r="AA32" s="422"/>
    </row>
    <row r="33" spans="1:27" s="521" customFormat="1" ht="12.75" customHeight="1">
      <c r="A33" s="4"/>
      <c r="B33" s="5"/>
      <c r="C33" s="29">
        <v>14</v>
      </c>
      <c r="D33" s="970" t="str">
        <f t="shared" si="8"/>
        <v>Sottoimpianto oggetto di un parametro di riferimento relativo al combustibile, non CL</v>
      </c>
      <c r="E33" s="971"/>
      <c r="F33" s="971"/>
      <c r="G33" s="972"/>
      <c r="H33" s="470"/>
      <c r="I33" s="488">
        <f>IF(H33="","",H33*INDEX(B_InitialSituation!$I$9:$I$153,MATCH($Q33,B_InitialSituation!$Q$9:$Q$153,0)))</f>
      </c>
      <c r="J33" s="488">
        <f>IF(H33="","",H33*INDEX(B_InitialSituation!$J$9:$J$153,MATCH($R33,B_InitialSituation!$R$9:$R$153,0)))</f>
      </c>
      <c r="K33" s="471">
        <f t="shared" si="0"/>
      </c>
      <c r="L33" s="488">
        <f>IF(K33="","",K33*INDEX(B_InitialSituation!$I$9:$I$153,MATCH($Q33,B_InitialSituation!$Q$9:$Q$153,0)))</f>
      </c>
      <c r="M33" s="488">
        <f>IF(K33="","",K33*INDEX(B_InitialSituation!$J$9:$J$153,MATCH($R33,B_InitialSituation!$R$9:$R$153,0)))</f>
      </c>
      <c r="N33" s="472">
        <f t="shared" si="1"/>
      </c>
      <c r="O33" s="9"/>
      <c r="P33" s="9"/>
      <c r="Q33" s="450" t="str">
        <f t="shared" si="3"/>
        <v>CAPINI_1_Sottoimpianto oggetto di un parametro di riferimento relativo al combustibile, non CL</v>
      </c>
      <c r="R33" s="450" t="str">
        <f t="shared" si="4"/>
        <v>HAL_1_Sottoimpianto oggetto di un parametro di riferimento relativo al combustibile, non CL</v>
      </c>
      <c r="S33" s="450" t="str">
        <f t="shared" si="5"/>
        <v>HAL_1_14</v>
      </c>
      <c r="T33" s="450" t="str">
        <f t="shared" si="2"/>
        <v>FInitial_1_Sottoimpianto oggetto di un parametro di riferimento relativo al combustibile, non CL</v>
      </c>
      <c r="U33" s="450" t="str">
        <f t="shared" si="6"/>
        <v>CAPINI_Sottoimpianto oggetto di un parametro di riferimento relativo al combustibile, non CL</v>
      </c>
      <c r="V33" s="452">
        <f t="shared" si="7"/>
        <v>1</v>
      </c>
      <c r="W33" s="422"/>
      <c r="X33" s="422"/>
      <c r="Y33" s="422"/>
      <c r="Z33" s="447" t="b">
        <f>INDEX(B_InitialSituation!$X$9:$X$153,MATCH($T33,B_InitialSituation!$Q$9:$Q$153,0))</f>
        <v>0</v>
      </c>
      <c r="AA33" s="422"/>
    </row>
    <row r="34" spans="1:27" s="521" customFormat="1" ht="12.75" customHeight="1">
      <c r="A34" s="4"/>
      <c r="B34" s="5"/>
      <c r="C34" s="29">
        <v>15</v>
      </c>
      <c r="D34" s="970" t="str">
        <f t="shared" si="8"/>
        <v>Sottoimpianto con emissioni di processo, CL</v>
      </c>
      <c r="E34" s="971"/>
      <c r="F34" s="971"/>
      <c r="G34" s="972"/>
      <c r="H34" s="470"/>
      <c r="I34" s="488">
        <f>IF(H34="","",H34*INDEX(B_InitialSituation!$I$9:$I$153,MATCH($Q34,B_InitialSituation!$Q$9:$Q$153,0)))</f>
      </c>
      <c r="J34" s="488">
        <f>IF(H34="","",H34*INDEX(B_InitialSituation!$J$9:$J$153,MATCH($R34,B_InitialSituation!$R$9:$R$153,0)))</f>
      </c>
      <c r="K34" s="471">
        <f t="shared" si="0"/>
      </c>
      <c r="L34" s="488">
        <f>IF(K34="","",K34*INDEX(B_InitialSituation!$I$9:$I$153,MATCH($Q34,B_InitialSituation!$Q$9:$Q$153,0)))</f>
      </c>
      <c r="M34" s="488">
        <f>IF(K34="","",K34*INDEX(B_InitialSituation!$J$9:$J$153,MATCH($R34,B_InitialSituation!$R$9:$R$153,0)))</f>
      </c>
      <c r="N34" s="472">
        <f t="shared" si="1"/>
      </c>
      <c r="O34" s="9"/>
      <c r="P34" s="9"/>
      <c r="Q34" s="450" t="str">
        <f t="shared" si="3"/>
        <v>CAPINI_1_Sottoimpianto con emissioni di processo, CL</v>
      </c>
      <c r="R34" s="450" t="str">
        <f t="shared" si="4"/>
        <v>HAL_1_Sottoimpianto con emissioni di processo, CL</v>
      </c>
      <c r="S34" s="450" t="str">
        <f t="shared" si="5"/>
        <v>HAL_1_15</v>
      </c>
      <c r="T34" s="450" t="str">
        <f t="shared" si="2"/>
        <v>FInitial_1_Sottoimpianto con emissioni di processo, CL</v>
      </c>
      <c r="U34" s="450" t="str">
        <f t="shared" si="6"/>
        <v>CAPINI_Sottoimpianto con emissioni di processo, CL</v>
      </c>
      <c r="V34" s="452">
        <f t="shared" si="7"/>
        <v>1</v>
      </c>
      <c r="W34" s="422"/>
      <c r="X34" s="422"/>
      <c r="Y34" s="422"/>
      <c r="Z34" s="447" t="b">
        <f>INDEX(B_InitialSituation!$X$9:$X$153,MATCH($T34,B_InitialSituation!$Q$9:$Q$153,0))</f>
        <v>0</v>
      </c>
      <c r="AA34" s="422"/>
    </row>
    <row r="35" spans="1:27" s="521" customFormat="1" ht="12.75" customHeight="1">
      <c r="A35" s="4"/>
      <c r="B35" s="5"/>
      <c r="C35" s="25">
        <v>16</v>
      </c>
      <c r="D35" s="970" t="str">
        <f t="shared" si="8"/>
        <v>Sottoimpianto con emissioni di processo, non CL</v>
      </c>
      <c r="E35" s="971"/>
      <c r="F35" s="971"/>
      <c r="G35" s="972"/>
      <c r="H35" s="476"/>
      <c r="I35" s="491">
        <f>IF(H35="","",H35*INDEX(B_InitialSituation!$I$9:$I$153,MATCH($Q35,B_InitialSituation!$Q$9:$Q$153,0)))</f>
      </c>
      <c r="J35" s="491">
        <f>IF(H35="","",H35*INDEX(B_InitialSituation!$J$9:$J$153,MATCH($R35,B_InitialSituation!$R$9:$R$153,0)))</f>
      </c>
      <c r="K35" s="477">
        <f t="shared" si="0"/>
      </c>
      <c r="L35" s="491">
        <f>IF(K35="","",K35*INDEX(B_InitialSituation!$I$9:$I$153,MATCH($Q35,B_InitialSituation!$Q$9:$Q$153,0)))</f>
      </c>
      <c r="M35" s="491">
        <f>IF(K35="","",K35*INDEX(B_InitialSituation!$J$9:$J$153,MATCH($R35,B_InitialSituation!$R$9:$R$153,0)))</f>
      </c>
      <c r="N35" s="478">
        <f t="shared" si="1"/>
      </c>
      <c r="O35" s="9"/>
      <c r="P35" s="9"/>
      <c r="Q35" s="450" t="str">
        <f t="shared" si="3"/>
        <v>CAPINI_1_Sottoimpianto con emissioni di processo, non CL</v>
      </c>
      <c r="R35" s="450" t="str">
        <f t="shared" si="4"/>
        <v>HAL_1_Sottoimpianto con emissioni di processo, non CL</v>
      </c>
      <c r="S35" s="450" t="str">
        <f t="shared" si="5"/>
        <v>HAL_1_16</v>
      </c>
      <c r="T35" s="450" t="str">
        <f t="shared" si="2"/>
        <v>FInitial_1_Sottoimpianto con emissioni di processo, non CL</v>
      </c>
      <c r="U35" s="450" t="str">
        <f t="shared" si="6"/>
        <v>CAPINI_Sottoimpianto con emissioni di processo, non CL</v>
      </c>
      <c r="V35" s="452">
        <f t="shared" si="7"/>
        <v>1</v>
      </c>
      <c r="W35" s="422"/>
      <c r="X35" s="422"/>
      <c r="Y35" s="422"/>
      <c r="Z35" s="447" t="b">
        <f>INDEX(B_InitialSituation!$X$9:$X$153,MATCH($T35,B_InitialSituation!$Q$9:$Q$153,0))</f>
        <v>0</v>
      </c>
      <c r="AA35" s="422"/>
    </row>
    <row r="36" spans="1:27" s="521" customFormat="1" ht="12.75" customHeight="1" thickBot="1">
      <c r="A36" s="4"/>
      <c r="B36" s="5"/>
      <c r="C36" s="412">
        <v>17</v>
      </c>
      <c r="D36" s="980" t="str">
        <f>EUconst_PrivateHouseholds</f>
        <v>Utenze private</v>
      </c>
      <c r="E36" s="981"/>
      <c r="F36" s="981"/>
      <c r="G36" s="982"/>
      <c r="H36" s="460"/>
      <c r="I36" s="479"/>
      <c r="J36" s="479"/>
      <c r="K36" s="463">
        <f t="shared" si="0"/>
      </c>
      <c r="L36" s="479"/>
      <c r="M36" s="479"/>
      <c r="N36" s="466">
        <f t="shared" si="1"/>
      </c>
      <c r="O36" s="9"/>
      <c r="P36" s="9"/>
      <c r="Q36" s="440"/>
      <c r="R36" s="440"/>
      <c r="S36" s="422"/>
      <c r="T36" s="450" t="str">
        <f t="shared" si="2"/>
        <v>FInitial_1_Utenze private</v>
      </c>
      <c r="U36" s="422"/>
      <c r="V36" s="453">
        <f t="shared" si="7"/>
        <v>1</v>
      </c>
      <c r="W36" s="422"/>
      <c r="X36" s="422"/>
      <c r="Y36" s="422"/>
      <c r="Z36" s="447" t="b">
        <f>INDEX(B_InitialSituation!$X$9:$X$153,MATCH($T36,B_InitialSituation!$Q$9:$Q$153,0))</f>
        <v>0</v>
      </c>
      <c r="AA36" s="422"/>
    </row>
    <row r="37" spans="1:27" s="521" customFormat="1" ht="12.75" customHeight="1">
      <c r="A37" s="4"/>
      <c r="B37" s="5"/>
      <c r="C37" s="7"/>
      <c r="D37" s="5"/>
      <c r="E37" s="5"/>
      <c r="F37" s="5"/>
      <c r="G37" s="5"/>
      <c r="H37" s="5"/>
      <c r="I37" s="5"/>
      <c r="J37" s="5"/>
      <c r="K37" s="5"/>
      <c r="L37" s="5"/>
      <c r="M37" s="9"/>
      <c r="N37" s="9"/>
      <c r="O37" s="9"/>
      <c r="P37" s="9"/>
      <c r="Q37" s="440"/>
      <c r="R37" s="440"/>
      <c r="S37" s="422"/>
      <c r="T37" s="422"/>
      <c r="U37" s="422"/>
      <c r="V37" s="422"/>
      <c r="W37" s="422"/>
      <c r="X37" s="422"/>
      <c r="Y37" s="422"/>
      <c r="Z37" s="422"/>
      <c r="AA37" s="422"/>
    </row>
    <row r="38" spans="1:27" s="521" customFormat="1" ht="12.75" customHeight="1">
      <c r="A38" s="4"/>
      <c r="B38" s="5"/>
      <c r="C38" s="7"/>
      <c r="D38" s="5"/>
      <c r="E38" s="5"/>
      <c r="F38" s="5"/>
      <c r="G38" s="5"/>
      <c r="H38" s="5"/>
      <c r="I38" s="5"/>
      <c r="J38" s="5"/>
      <c r="K38" s="5"/>
      <c r="L38" s="5"/>
      <c r="M38" s="9"/>
      <c r="N38" s="9"/>
      <c r="O38" s="9"/>
      <c r="P38" s="9"/>
      <c r="Q38" s="440"/>
      <c r="R38" s="422"/>
      <c r="S38" s="422"/>
      <c r="T38" s="422"/>
      <c r="U38" s="422"/>
      <c r="V38" s="422"/>
      <c r="W38" s="422"/>
      <c r="X38" s="422"/>
      <c r="Y38" s="422"/>
      <c r="Z38" s="422"/>
      <c r="AA38" s="422"/>
    </row>
    <row r="39" spans="1:27" s="524" customFormat="1" ht="18" customHeight="1">
      <c r="A39" s="207"/>
      <c r="B39" s="332"/>
      <c r="C39" s="336">
        <v>2</v>
      </c>
      <c r="D39" s="973" t="str">
        <f>Translations!$B$1495&amp;" "&amp;C39</f>
        <v>Trasferimento dall’impianto 2</v>
      </c>
      <c r="E39" s="973"/>
      <c r="F39" s="973"/>
      <c r="G39" s="973"/>
      <c r="H39" s="973"/>
      <c r="I39" s="973"/>
      <c r="J39" s="973"/>
      <c r="K39" s="973"/>
      <c r="L39" s="973"/>
      <c r="M39" s="973"/>
      <c r="N39" s="973"/>
      <c r="O39" s="332"/>
      <c r="P39" s="332"/>
      <c r="Q39" s="444"/>
      <c r="R39" s="444"/>
      <c r="S39" s="444"/>
      <c r="T39" s="444"/>
      <c r="U39" s="444"/>
      <c r="V39" s="444"/>
      <c r="W39" s="444"/>
      <c r="X39" s="444"/>
      <c r="Y39" s="444"/>
      <c r="Z39" s="444"/>
      <c r="AA39" s="444"/>
    </row>
    <row r="40" spans="1:27" s="521" customFormat="1" ht="15">
      <c r="A40" s="4"/>
      <c r="B40" s="18"/>
      <c r="C40" s="16"/>
      <c r="D40" s="784" t="str">
        <f>Translations!$B$1589</f>
        <v>Si prega di inserire qui la percentuale di quote, di capacità e di livello di attività trasferite dal secondo impianto.</v>
      </c>
      <c r="E40" s="724"/>
      <c r="F40" s="724"/>
      <c r="G40" s="724"/>
      <c r="H40" s="724"/>
      <c r="I40" s="724"/>
      <c r="J40" s="724"/>
      <c r="K40" s="724"/>
      <c r="L40" s="724"/>
      <c r="M40" s="724"/>
      <c r="N40" s="7"/>
      <c r="O40" s="7"/>
      <c r="P40" s="18"/>
      <c r="Q40" s="422"/>
      <c r="R40" s="422"/>
      <c r="S40" s="422"/>
      <c r="T40" s="422"/>
      <c r="U40" s="422"/>
      <c r="V40" s="422"/>
      <c r="W40" s="422"/>
      <c r="X40" s="422"/>
      <c r="Y40" s="422"/>
      <c r="Z40" s="422"/>
      <c r="AA40" s="422"/>
    </row>
    <row r="41" spans="1:27" s="521" customFormat="1" ht="4.5" customHeight="1">
      <c r="A41" s="4"/>
      <c r="B41" s="18"/>
      <c r="C41" s="16"/>
      <c r="D41" s="7"/>
      <c r="E41" s="7"/>
      <c r="F41" s="7"/>
      <c r="G41" s="7"/>
      <c r="H41" s="7"/>
      <c r="I41" s="7"/>
      <c r="J41" s="7"/>
      <c r="K41" s="7"/>
      <c r="L41" s="7"/>
      <c r="M41" s="7"/>
      <c r="N41" s="7"/>
      <c r="O41" s="7"/>
      <c r="P41" s="18"/>
      <c r="Q41" s="422"/>
      <c r="R41" s="422"/>
      <c r="S41" s="422"/>
      <c r="T41" s="422"/>
      <c r="U41" s="422"/>
      <c r="V41" s="422"/>
      <c r="W41" s="422"/>
      <c r="X41" s="422"/>
      <c r="Y41" s="422"/>
      <c r="Z41" s="422"/>
      <c r="AA41" s="422"/>
    </row>
    <row r="42" spans="1:27" s="521" customFormat="1" ht="13.5" thickBot="1">
      <c r="A42" s="4"/>
      <c r="B42" s="18"/>
      <c r="C42" s="7"/>
      <c r="D42" s="7"/>
      <c r="E42" s="7"/>
      <c r="F42" s="7"/>
      <c r="G42" s="7"/>
      <c r="H42" s="381" t="str">
        <f>Translations!$B$1562</f>
        <v>da:</v>
      </c>
      <c r="I42" s="7"/>
      <c r="J42" s="7"/>
      <c r="K42" s="7"/>
      <c r="L42" s="7"/>
      <c r="M42" s="7"/>
      <c r="N42" s="18"/>
      <c r="O42" s="3"/>
      <c r="P42" s="18"/>
      <c r="Q42" s="422"/>
      <c r="R42" s="422"/>
      <c r="S42" s="422"/>
      <c r="T42" s="422"/>
      <c r="U42" s="422"/>
      <c r="V42" s="422"/>
      <c r="W42" s="422"/>
      <c r="X42" s="422"/>
      <c r="Y42" s="422"/>
      <c r="Z42" s="422"/>
      <c r="AA42" s="422"/>
    </row>
    <row r="43" spans="1:27" s="524" customFormat="1" ht="25.5" customHeight="1" thickBot="1">
      <c r="A43" s="207"/>
      <c r="B43" s="208"/>
      <c r="C43" s="334"/>
      <c r="D43" s="208"/>
      <c r="E43" s="7"/>
      <c r="F43" s="7"/>
      <c r="G43" s="7"/>
      <c r="H43" s="977">
        <f>INDEX(A_InstallationData!$J$200:$J$273,MATCH(C39,A_InstallationData!$R$200:$R$273,0))</f>
      </c>
      <c r="I43" s="978"/>
      <c r="J43" s="979"/>
      <c r="K43" s="7"/>
      <c r="L43" s="7"/>
      <c r="M43" s="7"/>
      <c r="N43" s="337"/>
      <c r="O43" s="9"/>
      <c r="P43" s="9"/>
      <c r="Q43" s="457">
        <f>C39</f>
        <v>2</v>
      </c>
      <c r="R43" s="444"/>
      <c r="S43" s="444"/>
      <c r="T43" s="444"/>
      <c r="U43" s="444"/>
      <c r="V43" s="444"/>
      <c r="W43" s="444"/>
      <c r="X43" s="444"/>
      <c r="Y43" s="444"/>
      <c r="Z43" s="444"/>
      <c r="AA43" s="444"/>
    </row>
    <row r="44" spans="1:27" s="521" customFormat="1" ht="4.5" customHeight="1">
      <c r="A44" s="4"/>
      <c r="B44" s="5"/>
      <c r="C44" s="7"/>
      <c r="D44" s="5"/>
      <c r="E44" s="5"/>
      <c r="F44" s="5"/>
      <c r="G44" s="7"/>
      <c r="H44" s="5"/>
      <c r="I44" s="323"/>
      <c r="J44" s="5"/>
      <c r="K44" s="5"/>
      <c r="L44" s="5"/>
      <c r="M44" s="9"/>
      <c r="N44" s="314"/>
      <c r="O44" s="9"/>
      <c r="P44" s="9"/>
      <c r="Q44" s="440"/>
      <c r="R44" s="422"/>
      <c r="S44" s="422"/>
      <c r="T44" s="422"/>
      <c r="U44" s="422"/>
      <c r="V44" s="422"/>
      <c r="W44" s="422"/>
      <c r="X44" s="422"/>
      <c r="Y44" s="422"/>
      <c r="Z44" s="422"/>
      <c r="AA44" s="422"/>
    </row>
    <row r="45" spans="1:27" s="521" customFormat="1" ht="12.75" customHeight="1" thickBot="1">
      <c r="A45" s="4"/>
      <c r="B45" s="5"/>
      <c r="C45" s="7"/>
      <c r="D45" s="5"/>
      <c r="E45" s="5"/>
      <c r="F45" s="5"/>
      <c r="G45" s="7"/>
      <c r="H45" s="415" t="str">
        <f>Translations!$B$1563</f>
        <v>a:</v>
      </c>
      <c r="I45" s="416"/>
      <c r="J45" s="41"/>
      <c r="K45" s="415" t="str">
        <f>Translations!$B$1563</f>
        <v>a:</v>
      </c>
      <c r="L45" s="7"/>
      <c r="M45" s="7"/>
      <c r="N45" s="314"/>
      <c r="O45" s="9"/>
      <c r="P45" s="9"/>
      <c r="Q45" s="440"/>
      <c r="R45" s="422"/>
      <c r="S45" s="422"/>
      <c r="T45" s="422"/>
      <c r="U45" s="422"/>
      <c r="V45" s="422"/>
      <c r="W45" s="422"/>
      <c r="X45" s="422"/>
      <c r="Y45" s="422"/>
      <c r="Z45" s="422"/>
      <c r="AA45" s="422"/>
    </row>
    <row r="46" spans="1:27" s="521" customFormat="1" ht="25.5" customHeight="1" thickBot="1">
      <c r="A46" s="4"/>
      <c r="B46" s="5"/>
      <c r="C46" s="5"/>
      <c r="D46" s="5"/>
      <c r="E46" s="5"/>
      <c r="F46" s="5"/>
      <c r="G46" s="7"/>
      <c r="H46" s="977">
        <f>IF($H43="","",INDEX(A_InstallationData!$J$200:$J$273,MATCH(R46,A_InstallationData!$R$200:$R$273,0)))</f>
      </c>
      <c r="I46" s="978"/>
      <c r="J46" s="979"/>
      <c r="K46" s="977">
        <f>IF($H43="","",INDEX(A_InstallationData!$J$200:$J$273,MATCH(U46,A_InstallationData!$R$200:$R$273,0)))</f>
      </c>
      <c r="L46" s="978"/>
      <c r="M46" s="979"/>
      <c r="N46" s="9"/>
      <c r="O46" s="9"/>
      <c r="P46" s="9"/>
      <c r="Q46" s="440"/>
      <c r="R46" s="494">
        <v>3</v>
      </c>
      <c r="S46" s="422"/>
      <c r="T46" s="422"/>
      <c r="U46" s="494">
        <v>4</v>
      </c>
      <c r="V46" s="448" t="s">
        <v>545</v>
      </c>
      <c r="W46" s="422"/>
      <c r="X46" s="422"/>
      <c r="Y46" s="422"/>
      <c r="Z46" s="422"/>
      <c r="AA46" s="422"/>
    </row>
    <row r="47" spans="1:27" s="521" customFormat="1" ht="38.25" customHeight="1" thickBot="1">
      <c r="A47" s="4"/>
      <c r="B47" s="5"/>
      <c r="C47" s="20"/>
      <c r="D47" s="989" t="str">
        <f>Translations!$B$440</f>
        <v>Sottoimpianto</v>
      </c>
      <c r="E47" s="990"/>
      <c r="F47" s="990"/>
      <c r="G47" s="325"/>
      <c r="H47" s="417" t="str">
        <f>Translations!$B$1564</f>
        <v>Quota</v>
      </c>
      <c r="I47" s="348" t="str">
        <f>Translations!$B$1565</f>
        <v>Capacità installata</v>
      </c>
      <c r="J47" s="419" t="str">
        <f>Translations!$B$1566</f>
        <v>Livello di attività annuale</v>
      </c>
      <c r="K47" s="420" t="str">
        <f>Translations!$B$1564</f>
        <v>Quota</v>
      </c>
      <c r="L47" s="66" t="str">
        <f>Translations!$B$1565</f>
        <v>Capacità installata</v>
      </c>
      <c r="M47" s="421" t="str">
        <f>Translations!$B$1566</f>
        <v>Livello di attività annuale</v>
      </c>
      <c r="N47" s="585" t="str">
        <f>Translations!$B$1103</f>
        <v>messaggio di errore</v>
      </c>
      <c r="O47" s="9"/>
      <c r="P47" s="9"/>
      <c r="Q47" s="440"/>
      <c r="R47" s="422"/>
      <c r="S47" s="422"/>
      <c r="T47" s="422"/>
      <c r="U47" s="422"/>
      <c r="V47" s="448"/>
      <c r="W47" s="422"/>
      <c r="X47" s="422"/>
      <c r="Y47" s="422"/>
      <c r="Z47" s="446" t="s">
        <v>299</v>
      </c>
      <c r="AA47" s="422"/>
    </row>
    <row r="48" spans="1:27" s="521" customFormat="1" ht="12.75" customHeight="1" thickBot="1">
      <c r="A48" s="4"/>
      <c r="B48" s="5"/>
      <c r="C48" s="418">
        <v>0</v>
      </c>
      <c r="D48" s="991" t="str">
        <f>Translations!$B$1447</f>
        <v>Fase prima dell'avvio</v>
      </c>
      <c r="E48" s="992"/>
      <c r="F48" s="992"/>
      <c r="G48" s="993"/>
      <c r="H48" s="460"/>
      <c r="I48" s="461"/>
      <c r="J48" s="462"/>
      <c r="K48" s="463">
        <f aca="true" t="shared" si="9" ref="K48:K65">IF(H48="","",1-H48)</f>
      </c>
      <c r="L48" s="464"/>
      <c r="M48" s="465"/>
      <c r="N48" s="466">
        <f aca="true" t="shared" si="10" ref="N48:N65">IF(AND($Z48=TRUE,H48=""),EUconst_Incomplete,IF(H48&gt;1,EUconst_Inconsistent,""))</f>
      </c>
      <c r="O48" s="9"/>
      <c r="P48" s="480"/>
      <c r="Q48" s="440"/>
      <c r="R48" s="422"/>
      <c r="S48" s="422"/>
      <c r="T48" s="450" t="str">
        <f aca="true" t="shared" si="11" ref="T48:T65">EUconst_CNTR_Finitial&amp;$V48&amp;"_"&amp;$D48</f>
        <v>FInitial_2_Fase prima dell'avvio</v>
      </c>
      <c r="U48" s="422"/>
      <c r="V48" s="451">
        <f>C39</f>
        <v>2</v>
      </c>
      <c r="W48" s="422"/>
      <c r="X48" s="422"/>
      <c r="Y48" s="422"/>
      <c r="Z48" s="447" t="b">
        <f>INDEX(B_InitialSituation!$X$9:$X$153,MATCH($T48,B_InitialSituation!$Q$9:$Q$153,0))</f>
        <v>0</v>
      </c>
      <c r="AA48" s="422"/>
    </row>
    <row r="49" spans="1:27" s="521" customFormat="1" ht="12.75" customHeight="1">
      <c r="A49" s="4"/>
      <c r="B49" s="5"/>
      <c r="C49" s="29">
        <v>1</v>
      </c>
      <c r="D49" s="994">
        <f>INDEX(B_InitialSituation!$D$9:$D$153,MATCH($S49,B_InitialSituation!$S$9:$S$153,0))</f>
      </c>
      <c r="E49" s="995"/>
      <c r="F49" s="995"/>
      <c r="G49" s="996"/>
      <c r="H49" s="467"/>
      <c r="I49" s="487">
        <f>IF(H49="","",H49*INDEX(B_InitialSituation!$I$9:$I$153,MATCH($Q49,B_InitialSituation!$Q$9:$Q$153,0)))</f>
      </c>
      <c r="J49" s="487">
        <f>IF(H49="","",H49*INDEX(B_InitialSituation!$J$9:$J$153,MATCH($R49,B_InitialSituation!$R$9:$R$153,0)))</f>
      </c>
      <c r="K49" s="468">
        <f t="shared" si="9"/>
      </c>
      <c r="L49" s="487">
        <f>IF(K49="","",K49*INDEX(B_InitialSituation!$I$9:$I$153,MATCH($Q49,B_InitialSituation!$Q$9:$Q$153,0)))</f>
      </c>
      <c r="M49" s="487">
        <f>IF(K49="","",K49*INDEX(B_InitialSituation!$J$9:$J$153,MATCH($R49,B_InitialSituation!$R$9:$R$153,0)))</f>
      </c>
      <c r="N49" s="469">
        <f t="shared" si="10"/>
      </c>
      <c r="O49" s="9"/>
      <c r="P49" s="9"/>
      <c r="Q49" s="450" t="str">
        <f aca="true" t="shared" si="12" ref="Q49:Q64">EUconst_CNTR_CAPINI&amp;$V49&amp;"_"&amp;$D49</f>
        <v>CAPINI_2_</v>
      </c>
      <c r="R49" s="450" t="str">
        <f aca="true" t="shared" si="13" ref="R49:R64">EUconst_CNTR_HAL&amp;$V49&amp;"_"&amp;$D49</f>
        <v>HAL_2_</v>
      </c>
      <c r="S49" s="450" t="str">
        <f aca="true" t="shared" si="14" ref="S49:S64">EUconst_CNTR_HAL&amp;$V49&amp;"_"&amp;$C49</f>
        <v>HAL_2_1</v>
      </c>
      <c r="T49" s="450" t="str">
        <f t="shared" si="11"/>
        <v>FInitial_2_</v>
      </c>
      <c r="U49" s="450" t="str">
        <f aca="true" t="shared" si="15" ref="U49:U64">EUconst_CNTR_CAPINI&amp;$D49</f>
        <v>CAPINI_</v>
      </c>
      <c r="V49" s="452">
        <f aca="true" t="shared" si="16" ref="V49:V65">V48</f>
        <v>2</v>
      </c>
      <c r="W49" s="422"/>
      <c r="X49" s="422"/>
      <c r="Y49" s="422"/>
      <c r="Z49" s="447" t="b">
        <f>INDEX(B_InitialSituation!$X$9:$X$153,MATCH($T49,B_InitialSituation!$Q$9:$Q$153,0))</f>
        <v>0</v>
      </c>
      <c r="AA49" s="422"/>
    </row>
    <row r="50" spans="1:27" s="521" customFormat="1" ht="12.75" customHeight="1">
      <c r="A50" s="4"/>
      <c r="B50" s="5"/>
      <c r="C50" s="29">
        <v>2</v>
      </c>
      <c r="D50" s="974">
        <f>INDEX(B_InitialSituation!$D$9:$D$153,MATCH($S50,B_InitialSituation!$S$9:$S$153,0))</f>
      </c>
      <c r="E50" s="975"/>
      <c r="F50" s="975"/>
      <c r="G50" s="976"/>
      <c r="H50" s="470"/>
      <c r="I50" s="488">
        <f>IF(H50="","",H50*INDEX(B_InitialSituation!$I$9:$I$153,MATCH($Q50,B_InitialSituation!$Q$9:$Q$153,0)))</f>
      </c>
      <c r="J50" s="488">
        <f>IF(H50="","",H50*INDEX(B_InitialSituation!$J$9:$J$153,MATCH($R50,B_InitialSituation!$R$9:$R$153,0)))</f>
      </c>
      <c r="K50" s="471">
        <f t="shared" si="9"/>
      </c>
      <c r="L50" s="488">
        <f>IF(K50="","",K50*INDEX(B_InitialSituation!$I$9:$I$153,MATCH($Q50,B_InitialSituation!$Q$9:$Q$153,0)))</f>
      </c>
      <c r="M50" s="488">
        <f>IF(K50="","",K50*INDEX(B_InitialSituation!$J$9:$J$153,MATCH($R50,B_InitialSituation!$R$9:$R$153,0)))</f>
      </c>
      <c r="N50" s="472">
        <f t="shared" si="10"/>
      </c>
      <c r="O50" s="9"/>
      <c r="P50" s="9"/>
      <c r="Q50" s="450" t="str">
        <f t="shared" si="12"/>
        <v>CAPINI_2_</v>
      </c>
      <c r="R50" s="450" t="str">
        <f t="shared" si="13"/>
        <v>HAL_2_</v>
      </c>
      <c r="S50" s="450" t="str">
        <f t="shared" si="14"/>
        <v>HAL_2_2</v>
      </c>
      <c r="T50" s="450" t="str">
        <f t="shared" si="11"/>
        <v>FInitial_2_</v>
      </c>
      <c r="U50" s="450" t="str">
        <f t="shared" si="15"/>
        <v>CAPINI_</v>
      </c>
      <c r="V50" s="452">
        <f t="shared" si="16"/>
        <v>2</v>
      </c>
      <c r="W50" s="422"/>
      <c r="X50" s="422"/>
      <c r="Y50" s="422"/>
      <c r="Z50" s="447" t="b">
        <f>INDEX(B_InitialSituation!$X$9:$X$153,MATCH($T50,B_InitialSituation!$Q$9:$Q$153,0))</f>
        <v>0</v>
      </c>
      <c r="AA50" s="422"/>
    </row>
    <row r="51" spans="1:27" s="521" customFormat="1" ht="12.75" customHeight="1">
      <c r="A51" s="4"/>
      <c r="B51" s="5"/>
      <c r="C51" s="29">
        <v>3</v>
      </c>
      <c r="D51" s="974">
        <f>INDEX(B_InitialSituation!$D$9:$D$153,MATCH($S51,B_InitialSituation!$S$9:$S$153,0))</f>
      </c>
      <c r="E51" s="975"/>
      <c r="F51" s="975"/>
      <c r="G51" s="976"/>
      <c r="H51" s="470"/>
      <c r="I51" s="488">
        <f>IF(H51="","",H51*INDEX(B_InitialSituation!$I$9:$I$153,MATCH($Q51,B_InitialSituation!$Q$9:$Q$153,0)))</f>
      </c>
      <c r="J51" s="488">
        <f>IF(H51="","",H51*INDEX(B_InitialSituation!$J$9:$J$153,MATCH($R51,B_InitialSituation!$R$9:$R$153,0)))</f>
      </c>
      <c r="K51" s="471">
        <f t="shared" si="9"/>
      </c>
      <c r="L51" s="488">
        <f>IF(K51="","",K51*INDEX(B_InitialSituation!$I$9:$I$153,MATCH($Q51,B_InitialSituation!$Q$9:$Q$153,0)))</f>
      </c>
      <c r="M51" s="488">
        <f>IF(K51="","",K51*INDEX(B_InitialSituation!$J$9:$J$153,MATCH($R51,B_InitialSituation!$R$9:$R$153,0)))</f>
      </c>
      <c r="N51" s="472">
        <f t="shared" si="10"/>
      </c>
      <c r="O51" s="9"/>
      <c r="P51" s="9"/>
      <c r="Q51" s="450" t="str">
        <f t="shared" si="12"/>
        <v>CAPINI_2_</v>
      </c>
      <c r="R51" s="450" t="str">
        <f t="shared" si="13"/>
        <v>HAL_2_</v>
      </c>
      <c r="S51" s="450" t="str">
        <f t="shared" si="14"/>
        <v>HAL_2_3</v>
      </c>
      <c r="T51" s="450" t="str">
        <f t="shared" si="11"/>
        <v>FInitial_2_</v>
      </c>
      <c r="U51" s="450" t="str">
        <f t="shared" si="15"/>
        <v>CAPINI_</v>
      </c>
      <c r="V51" s="452">
        <f t="shared" si="16"/>
        <v>2</v>
      </c>
      <c r="W51" s="422"/>
      <c r="X51" s="422"/>
      <c r="Y51" s="422"/>
      <c r="Z51" s="447" t="b">
        <f>INDEX(B_InitialSituation!$X$9:$X$153,MATCH($T51,B_InitialSituation!$Q$9:$Q$153,0))</f>
        <v>0</v>
      </c>
      <c r="AA51" s="422"/>
    </row>
    <row r="52" spans="1:27" s="521" customFormat="1" ht="12.75" customHeight="1">
      <c r="A52" s="4"/>
      <c r="B52" s="5"/>
      <c r="C52" s="29">
        <v>4</v>
      </c>
      <c r="D52" s="974">
        <f>INDEX(B_InitialSituation!$D$9:$D$153,MATCH($S52,B_InitialSituation!$S$9:$S$153,0))</f>
      </c>
      <c r="E52" s="975"/>
      <c r="F52" s="975"/>
      <c r="G52" s="976"/>
      <c r="H52" s="470"/>
      <c r="I52" s="488">
        <f>IF(H52="","",H52*INDEX(B_InitialSituation!$I$9:$I$153,MATCH($Q52,B_InitialSituation!$Q$9:$Q$153,0)))</f>
      </c>
      <c r="J52" s="488">
        <f>IF(H52="","",H52*INDEX(B_InitialSituation!$J$9:$J$153,MATCH($R52,B_InitialSituation!$R$9:$R$153,0)))</f>
      </c>
      <c r="K52" s="471">
        <f t="shared" si="9"/>
      </c>
      <c r="L52" s="488">
        <f>IF(K52="","",K52*INDEX(B_InitialSituation!$I$9:$I$153,MATCH($Q52,B_InitialSituation!$Q$9:$Q$153,0)))</f>
      </c>
      <c r="M52" s="488">
        <f>IF(K52="","",K52*INDEX(B_InitialSituation!$J$9:$J$153,MATCH($R52,B_InitialSituation!$R$9:$R$153,0)))</f>
      </c>
      <c r="N52" s="472">
        <f t="shared" si="10"/>
      </c>
      <c r="O52" s="9"/>
      <c r="P52" s="9"/>
      <c r="Q52" s="450" t="str">
        <f t="shared" si="12"/>
        <v>CAPINI_2_</v>
      </c>
      <c r="R52" s="450" t="str">
        <f t="shared" si="13"/>
        <v>HAL_2_</v>
      </c>
      <c r="S52" s="450" t="str">
        <f t="shared" si="14"/>
        <v>HAL_2_4</v>
      </c>
      <c r="T52" s="450" t="str">
        <f t="shared" si="11"/>
        <v>FInitial_2_</v>
      </c>
      <c r="U52" s="450" t="str">
        <f t="shared" si="15"/>
        <v>CAPINI_</v>
      </c>
      <c r="V52" s="452">
        <f t="shared" si="16"/>
        <v>2</v>
      </c>
      <c r="W52" s="422"/>
      <c r="X52" s="422"/>
      <c r="Y52" s="422"/>
      <c r="Z52" s="447" t="b">
        <f>INDEX(B_InitialSituation!$X$9:$X$153,MATCH($T52,B_InitialSituation!$Q$9:$Q$153,0))</f>
        <v>0</v>
      </c>
      <c r="AA52" s="422"/>
    </row>
    <row r="53" spans="1:27" s="521" customFormat="1" ht="12.75" customHeight="1">
      <c r="A53" s="4"/>
      <c r="B53" s="5"/>
      <c r="C53" s="29">
        <v>5</v>
      </c>
      <c r="D53" s="974">
        <f>INDEX(B_InitialSituation!$D$9:$D$153,MATCH($S53,B_InitialSituation!$S$9:$S$153,0))</f>
      </c>
      <c r="E53" s="975"/>
      <c r="F53" s="975"/>
      <c r="G53" s="976"/>
      <c r="H53" s="470"/>
      <c r="I53" s="488">
        <f>IF(H53="","",H53*INDEX(B_InitialSituation!$I$9:$I$153,MATCH($Q53,B_InitialSituation!$Q$9:$Q$153,0)))</f>
      </c>
      <c r="J53" s="488">
        <f>IF(H53="","",H53*INDEX(B_InitialSituation!$J$9:$J$153,MATCH($R53,B_InitialSituation!$R$9:$R$153,0)))</f>
      </c>
      <c r="K53" s="471">
        <f t="shared" si="9"/>
      </c>
      <c r="L53" s="488">
        <f>IF(K53="","",K53*INDEX(B_InitialSituation!$I$9:$I$153,MATCH($Q53,B_InitialSituation!$Q$9:$Q$153,0)))</f>
      </c>
      <c r="M53" s="488">
        <f>IF(K53="","",K53*INDEX(B_InitialSituation!$J$9:$J$153,MATCH($R53,B_InitialSituation!$R$9:$R$153,0)))</f>
      </c>
      <c r="N53" s="472">
        <f t="shared" si="10"/>
      </c>
      <c r="O53" s="9"/>
      <c r="P53" s="9"/>
      <c r="Q53" s="450" t="str">
        <f t="shared" si="12"/>
        <v>CAPINI_2_</v>
      </c>
      <c r="R53" s="450" t="str">
        <f t="shared" si="13"/>
        <v>HAL_2_</v>
      </c>
      <c r="S53" s="450" t="str">
        <f t="shared" si="14"/>
        <v>HAL_2_5</v>
      </c>
      <c r="T53" s="450" t="str">
        <f t="shared" si="11"/>
        <v>FInitial_2_</v>
      </c>
      <c r="U53" s="450" t="str">
        <f t="shared" si="15"/>
        <v>CAPINI_</v>
      </c>
      <c r="V53" s="452">
        <f t="shared" si="16"/>
        <v>2</v>
      </c>
      <c r="W53" s="422"/>
      <c r="X53" s="422"/>
      <c r="Y53" s="422"/>
      <c r="Z53" s="447" t="b">
        <f>INDEX(B_InitialSituation!$X$9:$X$153,MATCH($T53,B_InitialSituation!$Q$9:$Q$153,0))</f>
        <v>0</v>
      </c>
      <c r="AA53" s="422"/>
    </row>
    <row r="54" spans="1:27" s="521" customFormat="1" ht="12.75" customHeight="1">
      <c r="A54" s="4"/>
      <c r="B54" s="5"/>
      <c r="C54" s="29">
        <v>6</v>
      </c>
      <c r="D54" s="974">
        <f>INDEX(B_InitialSituation!$D$9:$D$153,MATCH($S54,B_InitialSituation!$S$9:$S$153,0))</f>
      </c>
      <c r="E54" s="975"/>
      <c r="F54" s="975"/>
      <c r="G54" s="976"/>
      <c r="H54" s="470"/>
      <c r="I54" s="488">
        <f>IF(H54="","",H54*INDEX(B_InitialSituation!$I$9:$I$153,MATCH($Q54,B_InitialSituation!$Q$9:$Q$153,0)))</f>
      </c>
      <c r="J54" s="488">
        <f>IF(H54="","",H54*INDEX(B_InitialSituation!$J$9:$J$153,MATCH($R54,B_InitialSituation!$R$9:$R$153,0)))</f>
      </c>
      <c r="K54" s="471">
        <f t="shared" si="9"/>
      </c>
      <c r="L54" s="488">
        <f>IF(K54="","",K54*INDEX(B_InitialSituation!$I$9:$I$153,MATCH($Q54,B_InitialSituation!$Q$9:$Q$153,0)))</f>
      </c>
      <c r="M54" s="488">
        <f>IF(K54="","",K54*INDEX(B_InitialSituation!$J$9:$J$153,MATCH($R54,B_InitialSituation!$R$9:$R$153,0)))</f>
      </c>
      <c r="N54" s="472">
        <f t="shared" si="10"/>
      </c>
      <c r="O54" s="9"/>
      <c r="P54" s="9"/>
      <c r="Q54" s="450" t="str">
        <f t="shared" si="12"/>
        <v>CAPINI_2_</v>
      </c>
      <c r="R54" s="450" t="str">
        <f t="shared" si="13"/>
        <v>HAL_2_</v>
      </c>
      <c r="S54" s="450" t="str">
        <f t="shared" si="14"/>
        <v>HAL_2_6</v>
      </c>
      <c r="T54" s="450" t="str">
        <f t="shared" si="11"/>
        <v>FInitial_2_</v>
      </c>
      <c r="U54" s="450" t="str">
        <f t="shared" si="15"/>
        <v>CAPINI_</v>
      </c>
      <c r="V54" s="452">
        <f t="shared" si="16"/>
        <v>2</v>
      </c>
      <c r="W54" s="422"/>
      <c r="X54" s="422"/>
      <c r="Y54" s="422"/>
      <c r="Z54" s="447" t="b">
        <f>INDEX(B_InitialSituation!$X$9:$X$153,MATCH($T54,B_InitialSituation!$Q$9:$Q$153,0))</f>
        <v>0</v>
      </c>
      <c r="AA54" s="422"/>
    </row>
    <row r="55" spans="1:27" s="521" customFormat="1" ht="12.75" customHeight="1">
      <c r="A55" s="4"/>
      <c r="B55" s="5"/>
      <c r="C55" s="29">
        <v>7</v>
      </c>
      <c r="D55" s="974">
        <f>INDEX(B_InitialSituation!$D$9:$D$153,MATCH($S55,B_InitialSituation!$S$9:$S$153,0))</f>
      </c>
      <c r="E55" s="975"/>
      <c r="F55" s="975"/>
      <c r="G55" s="976"/>
      <c r="H55" s="470"/>
      <c r="I55" s="488">
        <f>IF(H55="","",H55*INDEX(B_InitialSituation!$I$9:$I$153,MATCH($Q55,B_InitialSituation!$Q$9:$Q$153,0)))</f>
      </c>
      <c r="J55" s="488">
        <f>IF(H55="","",H55*INDEX(B_InitialSituation!$J$9:$J$153,MATCH($R55,B_InitialSituation!$R$9:$R$153,0)))</f>
      </c>
      <c r="K55" s="471">
        <f t="shared" si="9"/>
      </c>
      <c r="L55" s="488">
        <f>IF(K55="","",K55*INDEX(B_InitialSituation!$I$9:$I$153,MATCH($Q55,B_InitialSituation!$Q$9:$Q$153,0)))</f>
      </c>
      <c r="M55" s="488">
        <f>IF(K55="","",K55*INDEX(B_InitialSituation!$J$9:$J$153,MATCH($R55,B_InitialSituation!$R$9:$R$153,0)))</f>
      </c>
      <c r="N55" s="472">
        <f t="shared" si="10"/>
      </c>
      <c r="O55" s="9"/>
      <c r="P55" s="9"/>
      <c r="Q55" s="450" t="str">
        <f t="shared" si="12"/>
        <v>CAPINI_2_</v>
      </c>
      <c r="R55" s="450" t="str">
        <f t="shared" si="13"/>
        <v>HAL_2_</v>
      </c>
      <c r="S55" s="450" t="str">
        <f t="shared" si="14"/>
        <v>HAL_2_7</v>
      </c>
      <c r="T55" s="450" t="str">
        <f t="shared" si="11"/>
        <v>FInitial_2_</v>
      </c>
      <c r="U55" s="450" t="str">
        <f t="shared" si="15"/>
        <v>CAPINI_</v>
      </c>
      <c r="V55" s="452">
        <f t="shared" si="16"/>
        <v>2</v>
      </c>
      <c r="W55" s="422"/>
      <c r="X55" s="422"/>
      <c r="Y55" s="422"/>
      <c r="Z55" s="447" t="b">
        <f>INDEX(B_InitialSituation!$X$9:$X$153,MATCH($T55,B_InitialSituation!$Q$9:$Q$153,0))</f>
        <v>0</v>
      </c>
      <c r="AA55" s="422"/>
    </row>
    <row r="56" spans="1:27" s="521" customFormat="1" ht="12.75" customHeight="1">
      <c r="A56" s="4"/>
      <c r="B56" s="5"/>
      <c r="C56" s="29">
        <v>8</v>
      </c>
      <c r="D56" s="974">
        <f>INDEX(B_InitialSituation!$D$9:$D$153,MATCH($S56,B_InitialSituation!$S$9:$S$153,0))</f>
      </c>
      <c r="E56" s="975"/>
      <c r="F56" s="975"/>
      <c r="G56" s="976"/>
      <c r="H56" s="470"/>
      <c r="I56" s="488">
        <f>IF(H56="","",H56*INDEX(B_InitialSituation!$I$9:$I$153,MATCH($Q56,B_InitialSituation!$Q$9:$Q$153,0)))</f>
      </c>
      <c r="J56" s="488">
        <f>IF(H56="","",H56*INDEX(B_InitialSituation!$J$9:$J$153,MATCH($R56,B_InitialSituation!$R$9:$R$153,0)))</f>
      </c>
      <c r="K56" s="471">
        <f t="shared" si="9"/>
      </c>
      <c r="L56" s="488">
        <f>IF(K56="","",K56*INDEX(B_InitialSituation!$I$9:$I$153,MATCH($Q56,B_InitialSituation!$Q$9:$Q$153,0)))</f>
      </c>
      <c r="M56" s="488">
        <f>IF(K56="","",K56*INDEX(B_InitialSituation!$J$9:$J$153,MATCH($R56,B_InitialSituation!$R$9:$R$153,0)))</f>
      </c>
      <c r="N56" s="472">
        <f t="shared" si="10"/>
      </c>
      <c r="O56" s="9"/>
      <c r="P56" s="9"/>
      <c r="Q56" s="450" t="str">
        <f t="shared" si="12"/>
        <v>CAPINI_2_</v>
      </c>
      <c r="R56" s="450" t="str">
        <f t="shared" si="13"/>
        <v>HAL_2_</v>
      </c>
      <c r="S56" s="450" t="str">
        <f t="shared" si="14"/>
        <v>HAL_2_8</v>
      </c>
      <c r="T56" s="450" t="str">
        <f t="shared" si="11"/>
        <v>FInitial_2_</v>
      </c>
      <c r="U56" s="450" t="str">
        <f t="shared" si="15"/>
        <v>CAPINI_</v>
      </c>
      <c r="V56" s="452">
        <f t="shared" si="16"/>
        <v>2</v>
      </c>
      <c r="W56" s="422"/>
      <c r="X56" s="422"/>
      <c r="Y56" s="422"/>
      <c r="Z56" s="447" t="b">
        <f>INDEX(B_InitialSituation!$X$9:$X$153,MATCH($T56,B_InitialSituation!$Q$9:$Q$153,0))</f>
        <v>0</v>
      </c>
      <c r="AA56" s="422"/>
    </row>
    <row r="57" spans="1:27" s="521" customFormat="1" ht="12.75" customHeight="1">
      <c r="A57" s="4"/>
      <c r="B57" s="5"/>
      <c r="C57" s="29">
        <v>9</v>
      </c>
      <c r="D57" s="974">
        <f>INDEX(B_InitialSituation!$D$9:$D$153,MATCH($S57,B_InitialSituation!$S$9:$S$153,0))</f>
      </c>
      <c r="E57" s="975"/>
      <c r="F57" s="975"/>
      <c r="G57" s="976"/>
      <c r="H57" s="470"/>
      <c r="I57" s="488">
        <f>IF(H57="","",H57*INDEX(B_InitialSituation!$I$9:$I$153,MATCH($Q57,B_InitialSituation!$Q$9:$Q$153,0)))</f>
      </c>
      <c r="J57" s="488">
        <f>IF(H57="","",H57*INDEX(B_InitialSituation!$J$9:$J$153,MATCH($R57,B_InitialSituation!$R$9:$R$153,0)))</f>
      </c>
      <c r="K57" s="471">
        <f t="shared" si="9"/>
      </c>
      <c r="L57" s="488">
        <f>IF(K57="","",K57*INDEX(B_InitialSituation!$I$9:$I$153,MATCH($Q57,B_InitialSituation!$Q$9:$Q$153,0)))</f>
      </c>
      <c r="M57" s="488">
        <f>IF(K57="","",K57*INDEX(B_InitialSituation!$J$9:$J$153,MATCH($R57,B_InitialSituation!$R$9:$R$153,0)))</f>
      </c>
      <c r="N57" s="472">
        <f t="shared" si="10"/>
      </c>
      <c r="O57" s="9"/>
      <c r="P57" s="9"/>
      <c r="Q57" s="450" t="str">
        <f t="shared" si="12"/>
        <v>CAPINI_2_</v>
      </c>
      <c r="R57" s="450" t="str">
        <f t="shared" si="13"/>
        <v>HAL_2_</v>
      </c>
      <c r="S57" s="450" t="str">
        <f t="shared" si="14"/>
        <v>HAL_2_9</v>
      </c>
      <c r="T57" s="450" t="str">
        <f t="shared" si="11"/>
        <v>FInitial_2_</v>
      </c>
      <c r="U57" s="450" t="str">
        <f t="shared" si="15"/>
        <v>CAPINI_</v>
      </c>
      <c r="V57" s="452">
        <f t="shared" si="16"/>
        <v>2</v>
      </c>
      <c r="W57" s="422"/>
      <c r="X57" s="422"/>
      <c r="Y57" s="422"/>
      <c r="Z57" s="447" t="b">
        <f>INDEX(B_InitialSituation!$X$9:$X$153,MATCH($T57,B_InitialSituation!$Q$9:$Q$153,0))</f>
        <v>0</v>
      </c>
      <c r="AA57" s="422"/>
    </row>
    <row r="58" spans="1:27" s="521" customFormat="1" ht="12.75" customHeight="1">
      <c r="A58" s="4"/>
      <c r="B58" s="5"/>
      <c r="C58" s="25">
        <v>10</v>
      </c>
      <c r="D58" s="986">
        <f>INDEX(B_InitialSituation!$D$9:$D$153,MATCH($S58,B_InitialSituation!$S$9:$S$153,0))</f>
      </c>
      <c r="E58" s="987"/>
      <c r="F58" s="987"/>
      <c r="G58" s="988"/>
      <c r="H58" s="473"/>
      <c r="I58" s="489">
        <f>IF(H58="","",H58*INDEX(B_InitialSituation!$I$9:$I$153,MATCH($Q58,B_InitialSituation!$Q$9:$Q$153,0)))</f>
      </c>
      <c r="J58" s="489">
        <f>IF(H58="","",H58*INDEX(B_InitialSituation!$J$9:$J$153,MATCH($R58,B_InitialSituation!$R$9:$R$153,0)))</f>
      </c>
      <c r="K58" s="474">
        <f t="shared" si="9"/>
      </c>
      <c r="L58" s="489">
        <f>IF(K58="","",K58*INDEX(B_InitialSituation!$I$9:$I$153,MATCH($Q58,B_InitialSituation!$Q$9:$Q$153,0)))</f>
      </c>
      <c r="M58" s="489">
        <f>IF(K58="","",K58*INDEX(B_InitialSituation!$J$9:$J$153,MATCH($R58,B_InitialSituation!$R$9:$R$153,0)))</f>
      </c>
      <c r="N58" s="475">
        <f t="shared" si="10"/>
      </c>
      <c r="O58" s="9"/>
      <c r="P58" s="9"/>
      <c r="Q58" s="450" t="str">
        <f t="shared" si="12"/>
        <v>CAPINI_2_</v>
      </c>
      <c r="R58" s="450" t="str">
        <f t="shared" si="13"/>
        <v>HAL_2_</v>
      </c>
      <c r="S58" s="450" t="str">
        <f t="shared" si="14"/>
        <v>HAL_2_10</v>
      </c>
      <c r="T58" s="450" t="str">
        <f t="shared" si="11"/>
        <v>FInitial_2_</v>
      </c>
      <c r="U58" s="450" t="str">
        <f t="shared" si="15"/>
        <v>CAPINI_</v>
      </c>
      <c r="V58" s="452">
        <f t="shared" si="16"/>
        <v>2</v>
      </c>
      <c r="W58" s="422"/>
      <c r="X58" s="422"/>
      <c r="Y58" s="422"/>
      <c r="Z58" s="447" t="b">
        <f>INDEX(B_InitialSituation!$X$9:$X$153,MATCH($T58,B_InitialSituation!$Q$9:$Q$153,0))</f>
        <v>0</v>
      </c>
      <c r="AA58" s="422"/>
    </row>
    <row r="59" spans="1:27" s="521" customFormat="1" ht="12.75" customHeight="1">
      <c r="A59" s="4"/>
      <c r="B59" s="5"/>
      <c r="C59" s="29">
        <v>11</v>
      </c>
      <c r="D59" s="983" t="str">
        <f aca="true" t="shared" si="17" ref="D59:D64">INDEX(EUconst_FallBackListNames,C59-10)</f>
        <v>Sottoimpianto oggetto di un parametro di riferimento relativo al calore, CL</v>
      </c>
      <c r="E59" s="984"/>
      <c r="F59" s="984"/>
      <c r="G59" s="985"/>
      <c r="H59" s="467"/>
      <c r="I59" s="490">
        <f>IF(H59="","",H59*INDEX(B_InitialSituation!$I$9:$I$153,MATCH($Q59,B_InitialSituation!$Q$9:$Q$153,0)))</f>
      </c>
      <c r="J59" s="490">
        <f>IF(H59="","",H59*INDEX(B_InitialSituation!$J$9:$J$153,MATCH($R59,B_InitialSituation!$R$9:$R$153,0)))</f>
      </c>
      <c r="K59" s="468">
        <f t="shared" si="9"/>
      </c>
      <c r="L59" s="490">
        <f>IF(K59="","",K59*INDEX(B_InitialSituation!$I$9:$I$153,MATCH($Q59,B_InitialSituation!$Q$9:$Q$153,0)))</f>
      </c>
      <c r="M59" s="490">
        <f>IF(K59="","",K59*INDEX(B_InitialSituation!$J$9:$J$153,MATCH($R59,B_InitialSituation!$R$9:$R$153,0)))</f>
      </c>
      <c r="N59" s="469">
        <f t="shared" si="10"/>
      </c>
      <c r="O59" s="9"/>
      <c r="P59" s="9"/>
      <c r="Q59" s="450" t="str">
        <f t="shared" si="12"/>
        <v>CAPINI_2_Sottoimpianto oggetto di un parametro di riferimento relativo al calore, CL</v>
      </c>
      <c r="R59" s="450" t="str">
        <f t="shared" si="13"/>
        <v>HAL_2_Sottoimpianto oggetto di un parametro di riferimento relativo al calore, CL</v>
      </c>
      <c r="S59" s="450" t="str">
        <f t="shared" si="14"/>
        <v>HAL_2_11</v>
      </c>
      <c r="T59" s="450" t="str">
        <f t="shared" si="11"/>
        <v>FInitial_2_Sottoimpianto oggetto di un parametro di riferimento relativo al calore, CL</v>
      </c>
      <c r="U59" s="450" t="str">
        <f t="shared" si="15"/>
        <v>CAPINI_Sottoimpianto oggetto di un parametro di riferimento relativo al calore, CL</v>
      </c>
      <c r="V59" s="452">
        <f t="shared" si="16"/>
        <v>2</v>
      </c>
      <c r="W59" s="422"/>
      <c r="X59" s="422"/>
      <c r="Y59" s="422"/>
      <c r="Z59" s="447" t="b">
        <f>INDEX(B_InitialSituation!$X$9:$X$153,MATCH($T59,B_InitialSituation!$Q$9:$Q$153,0))</f>
        <v>0</v>
      </c>
      <c r="AA59" s="422"/>
    </row>
    <row r="60" spans="1:27" s="521" customFormat="1" ht="12.75" customHeight="1">
      <c r="A60" s="4"/>
      <c r="B60" s="5"/>
      <c r="C60" s="29">
        <v>12</v>
      </c>
      <c r="D60" s="970" t="str">
        <f t="shared" si="17"/>
        <v>Sottoimpianto oggetto di un parametro di riferimento relativo al calore, non CL</v>
      </c>
      <c r="E60" s="971"/>
      <c r="F60" s="971"/>
      <c r="G60" s="972"/>
      <c r="H60" s="470"/>
      <c r="I60" s="488">
        <f>IF(H60="","",H60*INDEX(B_InitialSituation!$I$9:$I$153,MATCH($Q60,B_InitialSituation!$Q$9:$Q$153,0)))</f>
      </c>
      <c r="J60" s="488">
        <f>IF(H60="","",H60*INDEX(B_InitialSituation!$J$9:$J$153,MATCH($R60,B_InitialSituation!$R$9:$R$153,0)))</f>
      </c>
      <c r="K60" s="471">
        <f t="shared" si="9"/>
      </c>
      <c r="L60" s="488">
        <f>IF(K60="","",K60*INDEX(B_InitialSituation!$I$9:$I$153,MATCH($Q60,B_InitialSituation!$Q$9:$Q$153,0)))</f>
      </c>
      <c r="M60" s="488">
        <f>IF(K60="","",K60*INDEX(B_InitialSituation!$J$9:$J$153,MATCH($R60,B_InitialSituation!$R$9:$R$153,0)))</f>
      </c>
      <c r="N60" s="472">
        <f t="shared" si="10"/>
      </c>
      <c r="O60" s="9"/>
      <c r="P60" s="9"/>
      <c r="Q60" s="450" t="str">
        <f t="shared" si="12"/>
        <v>CAPINI_2_Sottoimpianto oggetto di un parametro di riferimento relativo al calore, non CL</v>
      </c>
      <c r="R60" s="450" t="str">
        <f t="shared" si="13"/>
        <v>HAL_2_Sottoimpianto oggetto di un parametro di riferimento relativo al calore, non CL</v>
      </c>
      <c r="S60" s="450" t="str">
        <f t="shared" si="14"/>
        <v>HAL_2_12</v>
      </c>
      <c r="T60" s="450" t="str">
        <f t="shared" si="11"/>
        <v>FInitial_2_Sottoimpianto oggetto di un parametro di riferimento relativo al calore, non CL</v>
      </c>
      <c r="U60" s="450" t="str">
        <f t="shared" si="15"/>
        <v>CAPINI_Sottoimpianto oggetto di un parametro di riferimento relativo al calore, non CL</v>
      </c>
      <c r="V60" s="452">
        <f t="shared" si="16"/>
        <v>2</v>
      </c>
      <c r="W60" s="422"/>
      <c r="X60" s="422"/>
      <c r="Y60" s="422"/>
      <c r="Z60" s="447" t="b">
        <f>INDEX(B_InitialSituation!$X$9:$X$153,MATCH($T60,B_InitialSituation!$Q$9:$Q$153,0))</f>
        <v>0</v>
      </c>
      <c r="AA60" s="422"/>
    </row>
    <row r="61" spans="1:27" s="521" customFormat="1" ht="12.75" customHeight="1">
      <c r="A61" s="4"/>
      <c r="B61" s="5"/>
      <c r="C61" s="29">
        <v>13</v>
      </c>
      <c r="D61" s="970" t="str">
        <f t="shared" si="17"/>
        <v>Sottoimpianto oggetto di un parametro di riferimento relativo al combustibile, CL</v>
      </c>
      <c r="E61" s="971"/>
      <c r="F61" s="971"/>
      <c r="G61" s="972"/>
      <c r="H61" s="470"/>
      <c r="I61" s="488">
        <f>IF(H61="","",H61*INDEX(B_InitialSituation!$I$9:$I$153,MATCH($Q61,B_InitialSituation!$Q$9:$Q$153,0)))</f>
      </c>
      <c r="J61" s="488">
        <f>IF(H61="","",H61*INDEX(B_InitialSituation!$J$9:$J$153,MATCH($R61,B_InitialSituation!$R$9:$R$153,0)))</f>
      </c>
      <c r="K61" s="471">
        <f t="shared" si="9"/>
      </c>
      <c r="L61" s="488">
        <f>IF(K61="","",K61*INDEX(B_InitialSituation!$I$9:$I$153,MATCH($Q61,B_InitialSituation!$Q$9:$Q$153,0)))</f>
      </c>
      <c r="M61" s="488">
        <f>IF(K61="","",K61*INDEX(B_InitialSituation!$J$9:$J$153,MATCH($R61,B_InitialSituation!$R$9:$R$153,0)))</f>
      </c>
      <c r="N61" s="472">
        <f t="shared" si="10"/>
      </c>
      <c r="O61" s="9"/>
      <c r="P61" s="9"/>
      <c r="Q61" s="450" t="str">
        <f t="shared" si="12"/>
        <v>CAPINI_2_Sottoimpianto oggetto di un parametro di riferimento relativo al combustibile, CL</v>
      </c>
      <c r="R61" s="450" t="str">
        <f t="shared" si="13"/>
        <v>HAL_2_Sottoimpianto oggetto di un parametro di riferimento relativo al combustibile, CL</v>
      </c>
      <c r="S61" s="450" t="str">
        <f t="shared" si="14"/>
        <v>HAL_2_13</v>
      </c>
      <c r="T61" s="450" t="str">
        <f t="shared" si="11"/>
        <v>FInitial_2_Sottoimpianto oggetto di un parametro di riferimento relativo al combustibile, CL</v>
      </c>
      <c r="U61" s="450" t="str">
        <f t="shared" si="15"/>
        <v>CAPINI_Sottoimpianto oggetto di un parametro di riferimento relativo al combustibile, CL</v>
      </c>
      <c r="V61" s="452">
        <f t="shared" si="16"/>
        <v>2</v>
      </c>
      <c r="W61" s="422"/>
      <c r="X61" s="422"/>
      <c r="Y61" s="422"/>
      <c r="Z61" s="447" t="b">
        <f>INDEX(B_InitialSituation!$X$9:$X$153,MATCH($T61,B_InitialSituation!$Q$9:$Q$153,0))</f>
        <v>0</v>
      </c>
      <c r="AA61" s="422"/>
    </row>
    <row r="62" spans="1:27" s="521" customFormat="1" ht="12.75" customHeight="1">
      <c r="A62" s="4"/>
      <c r="B62" s="5"/>
      <c r="C62" s="29">
        <v>14</v>
      </c>
      <c r="D62" s="970" t="str">
        <f t="shared" si="17"/>
        <v>Sottoimpianto oggetto di un parametro di riferimento relativo al combustibile, non CL</v>
      </c>
      <c r="E62" s="971"/>
      <c r="F62" s="971"/>
      <c r="G62" s="972"/>
      <c r="H62" s="470"/>
      <c r="I62" s="488">
        <f>IF(H62="","",H62*INDEX(B_InitialSituation!$I$9:$I$153,MATCH($Q62,B_InitialSituation!$Q$9:$Q$153,0)))</f>
      </c>
      <c r="J62" s="488">
        <f>IF(H62="","",H62*INDEX(B_InitialSituation!$J$9:$J$153,MATCH($R62,B_InitialSituation!$R$9:$R$153,0)))</f>
      </c>
      <c r="K62" s="471">
        <f t="shared" si="9"/>
      </c>
      <c r="L62" s="488">
        <f>IF(K62="","",K62*INDEX(B_InitialSituation!$I$9:$I$153,MATCH($Q62,B_InitialSituation!$Q$9:$Q$153,0)))</f>
      </c>
      <c r="M62" s="488">
        <f>IF(K62="","",K62*INDEX(B_InitialSituation!$J$9:$J$153,MATCH($R62,B_InitialSituation!$R$9:$R$153,0)))</f>
      </c>
      <c r="N62" s="472">
        <f t="shared" si="10"/>
      </c>
      <c r="O62" s="9"/>
      <c r="P62" s="9"/>
      <c r="Q62" s="450" t="str">
        <f t="shared" si="12"/>
        <v>CAPINI_2_Sottoimpianto oggetto di un parametro di riferimento relativo al combustibile, non CL</v>
      </c>
      <c r="R62" s="450" t="str">
        <f t="shared" si="13"/>
        <v>HAL_2_Sottoimpianto oggetto di un parametro di riferimento relativo al combustibile, non CL</v>
      </c>
      <c r="S62" s="450" t="str">
        <f t="shared" si="14"/>
        <v>HAL_2_14</v>
      </c>
      <c r="T62" s="450" t="str">
        <f t="shared" si="11"/>
        <v>FInitial_2_Sottoimpianto oggetto di un parametro di riferimento relativo al combustibile, non CL</v>
      </c>
      <c r="U62" s="450" t="str">
        <f t="shared" si="15"/>
        <v>CAPINI_Sottoimpianto oggetto di un parametro di riferimento relativo al combustibile, non CL</v>
      </c>
      <c r="V62" s="452">
        <f t="shared" si="16"/>
        <v>2</v>
      </c>
      <c r="W62" s="422"/>
      <c r="X62" s="422"/>
      <c r="Y62" s="422"/>
      <c r="Z62" s="447" t="b">
        <f>INDEX(B_InitialSituation!$X$9:$X$153,MATCH($T62,B_InitialSituation!$Q$9:$Q$153,0))</f>
        <v>0</v>
      </c>
      <c r="AA62" s="422"/>
    </row>
    <row r="63" spans="1:27" s="521" customFormat="1" ht="12.75" customHeight="1">
      <c r="A63" s="4"/>
      <c r="B63" s="5"/>
      <c r="C63" s="29">
        <v>15</v>
      </c>
      <c r="D63" s="970" t="str">
        <f t="shared" si="17"/>
        <v>Sottoimpianto con emissioni di processo, CL</v>
      </c>
      <c r="E63" s="971"/>
      <c r="F63" s="971"/>
      <c r="G63" s="972"/>
      <c r="H63" s="470"/>
      <c r="I63" s="488">
        <f>IF(H63="","",H63*INDEX(B_InitialSituation!$I$9:$I$153,MATCH($Q63,B_InitialSituation!$Q$9:$Q$153,0)))</f>
      </c>
      <c r="J63" s="488">
        <f>IF(H63="","",H63*INDEX(B_InitialSituation!$J$9:$J$153,MATCH($R63,B_InitialSituation!$R$9:$R$153,0)))</f>
      </c>
      <c r="K63" s="471">
        <f t="shared" si="9"/>
      </c>
      <c r="L63" s="488">
        <f>IF(K63="","",K63*INDEX(B_InitialSituation!$I$9:$I$153,MATCH($Q63,B_InitialSituation!$Q$9:$Q$153,0)))</f>
      </c>
      <c r="M63" s="488">
        <f>IF(K63="","",K63*INDEX(B_InitialSituation!$J$9:$J$153,MATCH($R63,B_InitialSituation!$R$9:$R$153,0)))</f>
      </c>
      <c r="N63" s="472">
        <f t="shared" si="10"/>
      </c>
      <c r="O63" s="9"/>
      <c r="P63" s="9"/>
      <c r="Q63" s="450" t="str">
        <f t="shared" si="12"/>
        <v>CAPINI_2_Sottoimpianto con emissioni di processo, CL</v>
      </c>
      <c r="R63" s="450" t="str">
        <f t="shared" si="13"/>
        <v>HAL_2_Sottoimpianto con emissioni di processo, CL</v>
      </c>
      <c r="S63" s="450" t="str">
        <f t="shared" si="14"/>
        <v>HAL_2_15</v>
      </c>
      <c r="T63" s="450" t="str">
        <f t="shared" si="11"/>
        <v>FInitial_2_Sottoimpianto con emissioni di processo, CL</v>
      </c>
      <c r="U63" s="450" t="str">
        <f t="shared" si="15"/>
        <v>CAPINI_Sottoimpianto con emissioni di processo, CL</v>
      </c>
      <c r="V63" s="452">
        <f t="shared" si="16"/>
        <v>2</v>
      </c>
      <c r="W63" s="422"/>
      <c r="X63" s="422"/>
      <c r="Y63" s="422"/>
      <c r="Z63" s="447" t="b">
        <f>INDEX(B_InitialSituation!$X$9:$X$153,MATCH($T63,B_InitialSituation!$Q$9:$Q$153,0))</f>
        <v>0</v>
      </c>
      <c r="AA63" s="422"/>
    </row>
    <row r="64" spans="1:27" s="521" customFormat="1" ht="12.75" customHeight="1">
      <c r="A64" s="4"/>
      <c r="B64" s="5"/>
      <c r="C64" s="25">
        <v>16</v>
      </c>
      <c r="D64" s="970" t="str">
        <f t="shared" si="17"/>
        <v>Sottoimpianto con emissioni di processo, non CL</v>
      </c>
      <c r="E64" s="971"/>
      <c r="F64" s="971"/>
      <c r="G64" s="972"/>
      <c r="H64" s="476"/>
      <c r="I64" s="491">
        <f>IF(H64="","",H64*INDEX(B_InitialSituation!$I$9:$I$153,MATCH($Q64,B_InitialSituation!$Q$9:$Q$153,0)))</f>
      </c>
      <c r="J64" s="491">
        <f>IF(H64="","",H64*INDEX(B_InitialSituation!$J$9:$J$153,MATCH($R64,B_InitialSituation!$R$9:$R$153,0)))</f>
      </c>
      <c r="K64" s="477">
        <f t="shared" si="9"/>
      </c>
      <c r="L64" s="491">
        <f>IF(K64="","",K64*INDEX(B_InitialSituation!$I$9:$I$153,MATCH($Q64,B_InitialSituation!$Q$9:$Q$153,0)))</f>
      </c>
      <c r="M64" s="491">
        <f>IF(K64="","",K64*INDEX(B_InitialSituation!$J$9:$J$153,MATCH($R64,B_InitialSituation!$R$9:$R$153,0)))</f>
      </c>
      <c r="N64" s="478">
        <f t="shared" si="10"/>
      </c>
      <c r="O64" s="9"/>
      <c r="P64" s="9"/>
      <c r="Q64" s="450" t="str">
        <f t="shared" si="12"/>
        <v>CAPINI_2_Sottoimpianto con emissioni di processo, non CL</v>
      </c>
      <c r="R64" s="450" t="str">
        <f t="shared" si="13"/>
        <v>HAL_2_Sottoimpianto con emissioni di processo, non CL</v>
      </c>
      <c r="S64" s="450" t="str">
        <f t="shared" si="14"/>
        <v>HAL_2_16</v>
      </c>
      <c r="T64" s="450" t="str">
        <f t="shared" si="11"/>
        <v>FInitial_2_Sottoimpianto con emissioni di processo, non CL</v>
      </c>
      <c r="U64" s="450" t="str">
        <f t="shared" si="15"/>
        <v>CAPINI_Sottoimpianto con emissioni di processo, non CL</v>
      </c>
      <c r="V64" s="452">
        <f t="shared" si="16"/>
        <v>2</v>
      </c>
      <c r="W64" s="422"/>
      <c r="X64" s="422"/>
      <c r="Y64" s="422"/>
      <c r="Z64" s="447" t="b">
        <f>INDEX(B_InitialSituation!$X$9:$X$153,MATCH($T64,B_InitialSituation!$Q$9:$Q$153,0))</f>
        <v>0</v>
      </c>
      <c r="AA64" s="422"/>
    </row>
    <row r="65" spans="1:27" s="521" customFormat="1" ht="12.75" customHeight="1" thickBot="1">
      <c r="A65" s="4"/>
      <c r="B65" s="5"/>
      <c r="C65" s="412">
        <v>17</v>
      </c>
      <c r="D65" s="980" t="str">
        <f>EUconst_PrivateHouseholds</f>
        <v>Utenze private</v>
      </c>
      <c r="E65" s="981"/>
      <c r="F65" s="981"/>
      <c r="G65" s="982"/>
      <c r="H65" s="460"/>
      <c r="I65" s="479"/>
      <c r="J65" s="479"/>
      <c r="K65" s="463">
        <f t="shared" si="9"/>
      </c>
      <c r="L65" s="479"/>
      <c r="M65" s="479"/>
      <c r="N65" s="466">
        <f t="shared" si="10"/>
      </c>
      <c r="O65" s="9"/>
      <c r="P65" s="9"/>
      <c r="Q65" s="440"/>
      <c r="R65" s="440"/>
      <c r="S65" s="422"/>
      <c r="T65" s="450" t="str">
        <f t="shared" si="11"/>
        <v>FInitial_2_Utenze private</v>
      </c>
      <c r="U65" s="422"/>
      <c r="V65" s="453">
        <f t="shared" si="16"/>
        <v>2</v>
      </c>
      <c r="W65" s="422"/>
      <c r="X65" s="422"/>
      <c r="Y65" s="422"/>
      <c r="Z65" s="447" t="b">
        <f>INDEX(B_InitialSituation!$X$9:$X$153,MATCH($T65,B_InitialSituation!$Q$9:$Q$153,0))</f>
        <v>0</v>
      </c>
      <c r="AA65" s="422"/>
    </row>
    <row r="66" spans="1:27" s="521" customFormat="1" ht="38.25" customHeight="1">
      <c r="A66" s="4"/>
      <c r="B66" s="5"/>
      <c r="C66" s="7"/>
      <c r="D66" s="5"/>
      <c r="E66" s="5"/>
      <c r="F66" s="5"/>
      <c r="G66" s="5"/>
      <c r="H66" s="5"/>
      <c r="I66" s="5"/>
      <c r="J66" s="5"/>
      <c r="K66" s="5"/>
      <c r="L66" s="5"/>
      <c r="M66" s="9"/>
      <c r="N66" s="9"/>
      <c r="O66" s="314"/>
      <c r="P66" s="9"/>
      <c r="Q66" s="440"/>
      <c r="R66" s="422"/>
      <c r="S66" s="422"/>
      <c r="T66" s="422"/>
      <c r="U66" s="422"/>
      <c r="V66" s="422"/>
      <c r="W66" s="422"/>
      <c r="X66" s="422"/>
      <c r="Y66" s="422"/>
      <c r="Z66" s="422"/>
      <c r="AA66" s="422"/>
    </row>
    <row r="67" spans="1:27" s="521" customFormat="1" ht="12.75">
      <c r="A67" s="4"/>
      <c r="B67" s="18"/>
      <c r="C67" s="18"/>
      <c r="D67" s="709" t="str">
        <f>HYPERLINK(R67,Translations!$B$336)</f>
        <v>&lt;&lt;&lt; Cliccare qui per passare al foglio successivo &gt;&gt;&gt; </v>
      </c>
      <c r="E67" s="710"/>
      <c r="F67" s="710"/>
      <c r="G67" s="710"/>
      <c r="H67" s="710"/>
      <c r="I67" s="710"/>
      <c r="J67" s="710"/>
      <c r="K67" s="710"/>
      <c r="L67" s="710"/>
      <c r="M67" s="710"/>
      <c r="N67" s="710"/>
      <c r="O67" s="18"/>
      <c r="P67" s="18"/>
      <c r="Q67" s="333"/>
      <c r="R67" s="450" t="str">
        <f>$W$2</f>
        <v>#D_Summary!$C$6</v>
      </c>
      <c r="S67" s="333"/>
      <c r="T67" s="333"/>
      <c r="U67" s="333"/>
      <c r="V67" s="333"/>
      <c r="W67" s="333"/>
      <c r="X67" s="333"/>
      <c r="Y67" s="333"/>
      <c r="Z67" s="333"/>
      <c r="AA67" s="422"/>
    </row>
    <row r="68" spans="1:27" s="521" customFormat="1" ht="12.75" customHeight="1">
      <c r="A68" s="4"/>
      <c r="B68" s="5"/>
      <c r="C68" s="7"/>
      <c r="D68" s="5"/>
      <c r="E68" s="5"/>
      <c r="F68" s="5"/>
      <c r="G68" s="5"/>
      <c r="H68" s="5"/>
      <c r="I68" s="5"/>
      <c r="J68" s="5"/>
      <c r="K68" s="5"/>
      <c r="L68" s="5"/>
      <c r="M68" s="9"/>
      <c r="N68" s="9"/>
      <c r="O68" s="314"/>
      <c r="P68" s="9"/>
      <c r="Q68" s="456" t="s">
        <v>172</v>
      </c>
      <c r="R68" s="456" t="s">
        <v>172</v>
      </c>
      <c r="S68" s="456" t="s">
        <v>172</v>
      </c>
      <c r="T68" s="456" t="s">
        <v>172</v>
      </c>
      <c r="U68" s="456" t="s">
        <v>172</v>
      </c>
      <c r="V68" s="456" t="s">
        <v>172</v>
      </c>
      <c r="W68" s="456" t="s">
        <v>172</v>
      </c>
      <c r="X68" s="456" t="s">
        <v>172</v>
      </c>
      <c r="Y68" s="456" t="s">
        <v>172</v>
      </c>
      <c r="Z68" s="456" t="s">
        <v>172</v>
      </c>
      <c r="AA68" s="422"/>
    </row>
    <row r="69" spans="1:27" s="521" customFormat="1" ht="12.75" customHeight="1">
      <c r="A69" s="4"/>
      <c r="B69" s="5"/>
      <c r="C69" s="7"/>
      <c r="D69" s="5"/>
      <c r="E69" s="5"/>
      <c r="F69" s="5"/>
      <c r="G69" s="5"/>
      <c r="H69" s="5"/>
      <c r="I69" s="5"/>
      <c r="J69" s="5"/>
      <c r="K69" s="5"/>
      <c r="L69" s="5"/>
      <c r="M69" s="9"/>
      <c r="N69" s="9"/>
      <c r="O69" s="314"/>
      <c r="P69" s="9"/>
      <c r="Q69" s="440"/>
      <c r="R69" s="454"/>
      <c r="S69" s="422"/>
      <c r="T69" s="422"/>
      <c r="U69" s="422"/>
      <c r="V69" s="422"/>
      <c r="W69" s="422"/>
      <c r="X69" s="422"/>
      <c r="Y69" s="422"/>
      <c r="Z69" s="422"/>
      <c r="AA69" s="422"/>
    </row>
    <row r="70" spans="1:27" s="521" customFormat="1" ht="12.75" customHeight="1">
      <c r="A70" s="4"/>
      <c r="B70" s="5"/>
      <c r="C70" s="7"/>
      <c r="D70" s="5"/>
      <c r="E70" s="5"/>
      <c r="F70" s="5"/>
      <c r="G70" s="5"/>
      <c r="H70" s="5"/>
      <c r="I70" s="5"/>
      <c r="J70" s="5"/>
      <c r="K70" s="5"/>
      <c r="L70" s="5"/>
      <c r="M70" s="9"/>
      <c r="N70" s="9"/>
      <c r="O70" s="314"/>
      <c r="P70" s="9"/>
      <c r="Q70" s="440"/>
      <c r="R70" s="422"/>
      <c r="S70" s="422"/>
      <c r="T70" s="422"/>
      <c r="U70" s="422"/>
      <c r="V70" s="422"/>
      <c r="W70" s="422"/>
      <c r="X70" s="422"/>
      <c r="Y70" s="422"/>
      <c r="Z70" s="422"/>
      <c r="AA70" s="422"/>
    </row>
    <row r="71" spans="1:27" s="521" customFormat="1" ht="12.75" customHeight="1">
      <c r="A71" s="4"/>
      <c r="B71" s="5"/>
      <c r="C71" s="7"/>
      <c r="D71" s="5"/>
      <c r="E71" s="5"/>
      <c r="F71" s="5"/>
      <c r="G71" s="5"/>
      <c r="H71" s="5"/>
      <c r="I71" s="5"/>
      <c r="J71" s="5"/>
      <c r="K71" s="5"/>
      <c r="L71" s="5"/>
      <c r="M71" s="9"/>
      <c r="N71" s="9"/>
      <c r="O71" s="314"/>
      <c r="P71" s="9"/>
      <c r="Q71" s="440"/>
      <c r="R71" s="422"/>
      <c r="S71" s="422"/>
      <c r="T71" s="422"/>
      <c r="U71" s="422"/>
      <c r="V71" s="422"/>
      <c r="W71" s="422"/>
      <c r="X71" s="422"/>
      <c r="Y71" s="422"/>
      <c r="Z71" s="422"/>
      <c r="AA71" s="422"/>
    </row>
    <row r="72" spans="1:27" s="521" customFormat="1" ht="12.75" customHeight="1">
      <c r="A72" s="4"/>
      <c r="B72" s="5"/>
      <c r="C72" s="7"/>
      <c r="D72" s="5"/>
      <c r="E72" s="5"/>
      <c r="F72" s="5"/>
      <c r="G72" s="5"/>
      <c r="H72" s="5"/>
      <c r="I72" s="5"/>
      <c r="J72" s="5"/>
      <c r="K72" s="5"/>
      <c r="L72" s="5"/>
      <c r="M72" s="9"/>
      <c r="N72" s="9"/>
      <c r="O72" s="314"/>
      <c r="P72" s="9"/>
      <c r="Q72" s="440"/>
      <c r="R72" s="422"/>
      <c r="S72" s="422"/>
      <c r="T72" s="422"/>
      <c r="U72" s="422"/>
      <c r="V72" s="422"/>
      <c r="W72" s="422"/>
      <c r="X72" s="422"/>
      <c r="Y72" s="422"/>
      <c r="Z72" s="422"/>
      <c r="AA72" s="422"/>
    </row>
    <row r="73" spans="1:27" s="521" customFormat="1" ht="12.75" customHeight="1">
      <c r="A73" s="4"/>
      <c r="B73" s="522"/>
      <c r="C73" s="520"/>
      <c r="D73" s="522"/>
      <c r="E73" s="522"/>
      <c r="F73" s="522"/>
      <c r="G73" s="522"/>
      <c r="H73" s="522"/>
      <c r="I73" s="522"/>
      <c r="J73" s="522"/>
      <c r="K73" s="522"/>
      <c r="L73" s="522"/>
      <c r="M73" s="518"/>
      <c r="N73" s="518"/>
      <c r="O73" s="526"/>
      <c r="P73" s="518"/>
      <c r="Q73" s="440"/>
      <c r="R73" s="422"/>
      <c r="S73" s="422"/>
      <c r="T73" s="422"/>
      <c r="U73" s="422"/>
      <c r="V73" s="422"/>
      <c r="W73" s="422"/>
      <c r="X73" s="422"/>
      <c r="Y73" s="422"/>
      <c r="Z73" s="422"/>
      <c r="AA73" s="422"/>
    </row>
  </sheetData>
  <sheetProtection sheet="1" objects="1" scenarios="1" formatCells="0" formatColumns="0" formatRows="0"/>
  <mergeCells count="77">
    <mergeCell ref="S4:T4"/>
    <mergeCell ref="U4:V4"/>
    <mergeCell ref="W4:X4"/>
    <mergeCell ref="Y4:Z4"/>
    <mergeCell ref="S2:T2"/>
    <mergeCell ref="U2:V2"/>
    <mergeCell ref="W2:X2"/>
    <mergeCell ref="Y2:Z2"/>
    <mergeCell ref="S3:T3"/>
    <mergeCell ref="U3:V3"/>
    <mergeCell ref="W3:X3"/>
    <mergeCell ref="Y3:Z3"/>
    <mergeCell ref="M2:N2"/>
    <mergeCell ref="E3:F3"/>
    <mergeCell ref="G3:H3"/>
    <mergeCell ref="I3:J3"/>
    <mergeCell ref="K3:L3"/>
    <mergeCell ref="M3:N3"/>
    <mergeCell ref="K4:L4"/>
    <mergeCell ref="M4:N4"/>
    <mergeCell ref="D6:N6"/>
    <mergeCell ref="B2:D4"/>
    <mergeCell ref="G2:H2"/>
    <mergeCell ref="I2:J2"/>
    <mergeCell ref="K2:L2"/>
    <mergeCell ref="H14:J14"/>
    <mergeCell ref="D18:F18"/>
    <mergeCell ref="D19:G19"/>
    <mergeCell ref="E4:F4"/>
    <mergeCell ref="G4:H4"/>
    <mergeCell ref="I4:J4"/>
    <mergeCell ref="K17:M17"/>
    <mergeCell ref="D48:G48"/>
    <mergeCell ref="D49:G49"/>
    <mergeCell ref="D50:G50"/>
    <mergeCell ref="D51:G51"/>
    <mergeCell ref="D10:N10"/>
    <mergeCell ref="D20:G20"/>
    <mergeCell ref="D21:G21"/>
    <mergeCell ref="D22:G22"/>
    <mergeCell ref="D23:G23"/>
    <mergeCell ref="D57:G57"/>
    <mergeCell ref="D52:G52"/>
    <mergeCell ref="D24:G24"/>
    <mergeCell ref="D25:G25"/>
    <mergeCell ref="D28:G28"/>
    <mergeCell ref="H17:J17"/>
    <mergeCell ref="D35:G35"/>
    <mergeCell ref="D36:G36"/>
    <mergeCell ref="D47:F47"/>
    <mergeCell ref="D31:G31"/>
    <mergeCell ref="D67:N67"/>
    <mergeCell ref="D11:M11"/>
    <mergeCell ref="D64:G64"/>
    <mergeCell ref="D65:G65"/>
    <mergeCell ref="D59:G59"/>
    <mergeCell ref="D55:G55"/>
    <mergeCell ref="D56:G56"/>
    <mergeCell ref="D58:G58"/>
    <mergeCell ref="D29:G29"/>
    <mergeCell ref="D30:G30"/>
    <mergeCell ref="D26:G26"/>
    <mergeCell ref="D27:G27"/>
    <mergeCell ref="D32:G32"/>
    <mergeCell ref="D33:G33"/>
    <mergeCell ref="D34:G34"/>
    <mergeCell ref="D40:M40"/>
    <mergeCell ref="D60:G60"/>
    <mergeCell ref="D39:N39"/>
    <mergeCell ref="D61:G61"/>
    <mergeCell ref="D62:G62"/>
    <mergeCell ref="D63:G63"/>
    <mergeCell ref="D54:G54"/>
    <mergeCell ref="H43:J43"/>
    <mergeCell ref="H46:J46"/>
    <mergeCell ref="K46:M46"/>
    <mergeCell ref="D53:G53"/>
  </mergeCells>
  <conditionalFormatting sqref="H19:H36 H48:H65">
    <cfRule type="expression" priority="1" dxfId="12" stopIfTrue="1">
      <formula>$Z19=FALSE</formula>
    </cfRule>
  </conditionalFormatting>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Q1858"/>
  <sheetViews>
    <sheetView zoomScalePageLayoutView="0" workbookViewId="0" topLeftCell="A1">
      <pane ySplit="4" topLeftCell="A125" activePane="bottomLeft" state="frozen"/>
      <selection pane="topLeft" activeCell="F43" sqref="F43"/>
      <selection pane="bottomLeft" activeCell="D118" sqref="D118:N118"/>
    </sheetView>
  </sheetViews>
  <sheetFormatPr defaultColWidth="11.421875" defaultRowHeight="12.75"/>
  <cols>
    <col min="1" max="1" width="4.7109375" style="582" hidden="1" customWidth="1"/>
    <col min="2" max="2" width="2.7109375" style="582" customWidth="1"/>
    <col min="3" max="4" width="4.7109375" style="582" customWidth="1"/>
    <col min="5" max="14" width="12.7109375" style="582" customWidth="1"/>
    <col min="15" max="15" width="4.7109375" style="582" customWidth="1"/>
    <col min="16" max="16" width="18.421875" style="582" hidden="1" customWidth="1"/>
    <col min="17" max="43" width="11.421875" style="512" hidden="1" customWidth="1"/>
    <col min="44" max="16384" width="11.421875" style="582" customWidth="1"/>
  </cols>
  <sheetData>
    <row r="1" spans="1:43" s="4" customFormat="1" ht="13.5" hidden="1" thickBot="1">
      <c r="A1" s="4" t="s">
        <v>484</v>
      </c>
      <c r="P1" s="318" t="s">
        <v>484</v>
      </c>
      <c r="Q1" s="422" t="s">
        <v>484</v>
      </c>
      <c r="R1" s="422" t="s">
        <v>484</v>
      </c>
      <c r="S1" s="439" t="s">
        <v>484</v>
      </c>
      <c r="T1" s="422" t="s">
        <v>484</v>
      </c>
      <c r="U1" s="422" t="s">
        <v>484</v>
      </c>
      <c r="V1" s="422" t="s">
        <v>484</v>
      </c>
      <c r="W1" s="422" t="s">
        <v>484</v>
      </c>
      <c r="X1" s="422" t="s">
        <v>484</v>
      </c>
      <c r="Y1" s="422" t="s">
        <v>484</v>
      </c>
      <c r="Z1" s="422" t="s">
        <v>484</v>
      </c>
      <c r="AA1" s="422" t="s">
        <v>484</v>
      </c>
      <c r="AB1" s="422" t="s">
        <v>484</v>
      </c>
      <c r="AC1" s="422" t="s">
        <v>484</v>
      </c>
      <c r="AD1" s="422" t="s">
        <v>484</v>
      </c>
      <c r="AE1" s="422" t="s">
        <v>484</v>
      </c>
      <c r="AF1" s="422" t="s">
        <v>484</v>
      </c>
      <c r="AG1" s="422" t="s">
        <v>484</v>
      </c>
      <c r="AH1" s="422" t="s">
        <v>484</v>
      </c>
      <c r="AI1" s="422" t="s">
        <v>484</v>
      </c>
      <c r="AJ1" s="422" t="s">
        <v>484</v>
      </c>
      <c r="AK1" s="422" t="s">
        <v>484</v>
      </c>
      <c r="AL1" s="422" t="s">
        <v>484</v>
      </c>
      <c r="AM1" s="422" t="s">
        <v>484</v>
      </c>
      <c r="AN1" s="422" t="s">
        <v>484</v>
      </c>
      <c r="AO1" s="422" t="s">
        <v>484</v>
      </c>
      <c r="AP1" s="422" t="s">
        <v>484</v>
      </c>
      <c r="AQ1" s="422" t="s">
        <v>484</v>
      </c>
    </row>
    <row r="2" spans="1:43" s="521" customFormat="1" ht="13.5" customHeight="1" thickBot="1">
      <c r="A2" s="4"/>
      <c r="B2" s="823" t="str">
        <f>Translations!$B$1567</f>
        <v>D. Sintesi</v>
      </c>
      <c r="C2" s="824"/>
      <c r="D2" s="825"/>
      <c r="E2" s="201" t="str">
        <f>Translations!$B$276</f>
        <v>Area di navigazione:</v>
      </c>
      <c r="F2" s="199"/>
      <c r="G2" s="779" t="str">
        <f>Translations!$B$290</f>
        <v>Indice</v>
      </c>
      <c r="H2" s="683"/>
      <c r="I2" s="683" t="str">
        <f>HYPERLINK(U2,Translations!$B$291)</f>
        <v>Foglio precedente</v>
      </c>
      <c r="J2" s="683"/>
      <c r="K2" s="683"/>
      <c r="L2" s="683"/>
      <c r="M2" s="683"/>
      <c r="N2" s="684"/>
      <c r="O2" s="9"/>
      <c r="P2" s="9"/>
      <c r="Q2" s="440" t="s">
        <v>552</v>
      </c>
      <c r="R2" s="440"/>
      <c r="S2" s="677"/>
      <c r="T2" s="678"/>
      <c r="U2" s="679" t="str">
        <f>"#"&amp;ADDRESS(ROW(C6),COLUMN(C6),,,C_MergerSplitTransfer!Q3)</f>
        <v>#C_MergerSplitTransfer!$C$6</v>
      </c>
      <c r="V2" s="678"/>
      <c r="W2" s="679" t="str">
        <f>"#"&amp;ADDRESS(ROW(C6),COLUMN(C6),,,C_MergerSplitTransfer!R2)</f>
        <v>#!$C$6</v>
      </c>
      <c r="X2" s="678"/>
      <c r="Y2" s="679" t="str">
        <f>"#"&amp;ADDRESS(ROW(C6),COLUMN(C6),,,D_Summary!Q3)</f>
        <v>#D_Summary!$C$6</v>
      </c>
      <c r="Z2" s="680"/>
      <c r="AA2" s="422"/>
      <c r="AB2" s="422"/>
      <c r="AC2" s="422"/>
      <c r="AD2" s="422"/>
      <c r="AE2" s="422"/>
      <c r="AF2" s="422"/>
      <c r="AG2" s="422"/>
      <c r="AH2" s="422"/>
      <c r="AI2" s="422"/>
      <c r="AJ2" s="422"/>
      <c r="AK2" s="422"/>
      <c r="AL2" s="422"/>
      <c r="AM2" s="422"/>
      <c r="AN2" s="422"/>
      <c r="AO2" s="422"/>
      <c r="AP2" s="422"/>
      <c r="AQ2" s="422"/>
    </row>
    <row r="3" spans="1:43" s="521" customFormat="1" ht="13.5" thickBot="1">
      <c r="A3" s="4"/>
      <c r="B3" s="826"/>
      <c r="C3" s="827"/>
      <c r="D3" s="828"/>
      <c r="E3" s="683" t="str">
        <f>HYPERLINK(R3,Translations!$B$279)</f>
        <v>Inizio foglio</v>
      </c>
      <c r="F3" s="745"/>
      <c r="G3" s="780" t="str">
        <f>HYPERLINK(S3,Translations!$B$1502)</f>
        <v>Impianti interessati</v>
      </c>
      <c r="H3" s="741"/>
      <c r="I3" s="740" t="str">
        <f>HYPERLINK(U3,D26)</f>
        <v>Dati dell'impianto</v>
      </c>
      <c r="J3" s="741"/>
      <c r="K3" s="740" t="str">
        <f>HYPERLINK(W3,D65)</f>
        <v>Nuova assegnazione</v>
      </c>
      <c r="L3" s="741"/>
      <c r="M3" s="740"/>
      <c r="N3" s="741"/>
      <c r="O3" s="9"/>
      <c r="P3" s="9"/>
      <c r="Q3" s="498" t="str">
        <f ca="1">IF(ISERROR(CELL("filename",Q1)),"D_Summary",MID(CELL("filename",Q1),FIND("]",CELL("filename",Q1))+1,1024))</f>
        <v>D_Summary</v>
      </c>
      <c r="R3" s="499" t="str">
        <f>"#"&amp;ADDRESS(ROW(C6),COLUMN(C6))</f>
        <v>#$C$6</v>
      </c>
      <c r="S3" s="717" t="str">
        <f>"#"&amp;ADDRESS(ROW(C8),COLUMN(C8))</f>
        <v>#$C$8</v>
      </c>
      <c r="T3" s="718"/>
      <c r="U3" s="719" t="str">
        <f>"#"&amp;ADDRESS(ROW(C26),COLUMN(C26))</f>
        <v>#$C$26</v>
      </c>
      <c r="V3" s="718"/>
      <c r="W3" s="719" t="str">
        <f>"#"&amp;ADDRESS(ROW(C65),COLUMN(C65))</f>
        <v>#$C$65</v>
      </c>
      <c r="X3" s="718"/>
      <c r="Y3" s="719"/>
      <c r="Z3" s="720"/>
      <c r="AA3" s="422"/>
      <c r="AB3" s="422"/>
      <c r="AC3" s="422"/>
      <c r="AD3" s="422"/>
      <c r="AE3" s="422"/>
      <c r="AF3" s="422"/>
      <c r="AG3" s="422"/>
      <c r="AH3" s="422"/>
      <c r="AI3" s="422"/>
      <c r="AJ3" s="422"/>
      <c r="AK3" s="422"/>
      <c r="AL3" s="422"/>
      <c r="AM3" s="422"/>
      <c r="AN3" s="422"/>
      <c r="AO3" s="422"/>
      <c r="AP3" s="422"/>
      <c r="AQ3" s="422"/>
    </row>
    <row r="4" spans="1:43" s="521" customFormat="1" ht="13.5" customHeight="1" thickBot="1">
      <c r="A4" s="4"/>
      <c r="B4" s="829"/>
      <c r="C4" s="830"/>
      <c r="D4" s="831"/>
      <c r="E4" s="683"/>
      <c r="F4" s="683"/>
      <c r="G4" s="742"/>
      <c r="H4" s="743"/>
      <c r="I4" s="744"/>
      <c r="J4" s="743"/>
      <c r="K4" s="744"/>
      <c r="L4" s="743"/>
      <c r="M4" s="744"/>
      <c r="N4" s="743"/>
      <c r="O4" s="9"/>
      <c r="P4" s="9"/>
      <c r="Q4" s="440"/>
      <c r="R4" s="500"/>
      <c r="S4" s="711"/>
      <c r="T4" s="712"/>
      <c r="U4" s="713"/>
      <c r="V4" s="712"/>
      <c r="W4" s="713"/>
      <c r="X4" s="712"/>
      <c r="Y4" s="713"/>
      <c r="Z4" s="714"/>
      <c r="AA4" s="422"/>
      <c r="AB4" s="422"/>
      <c r="AC4" s="422"/>
      <c r="AD4" s="422"/>
      <c r="AE4" s="422"/>
      <c r="AF4" s="422"/>
      <c r="AG4" s="422"/>
      <c r="AH4" s="422"/>
      <c r="AI4" s="422"/>
      <c r="AJ4" s="422"/>
      <c r="AK4" s="422"/>
      <c r="AL4" s="422"/>
      <c r="AM4" s="422"/>
      <c r="AN4" s="422"/>
      <c r="AO4" s="422"/>
      <c r="AP4" s="422"/>
      <c r="AQ4" s="422"/>
    </row>
    <row r="5" spans="1:43" s="521" customFormat="1" ht="12.75">
      <c r="A5" s="4"/>
      <c r="B5" s="5"/>
      <c r="C5" s="6"/>
      <c r="D5" s="7"/>
      <c r="E5" s="7"/>
      <c r="F5" s="8"/>
      <c r="G5" s="8"/>
      <c r="H5" s="8"/>
      <c r="I5" s="5"/>
      <c r="J5" s="5"/>
      <c r="K5" s="5"/>
      <c r="L5" s="5"/>
      <c r="M5" s="9"/>
      <c r="N5" s="9"/>
      <c r="O5" s="9"/>
      <c r="P5" s="9"/>
      <c r="Q5" s="440"/>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row>
    <row r="6" spans="1:43" s="521" customFormat="1" ht="23.25" customHeight="1">
      <c r="A6" s="4"/>
      <c r="B6" s="5"/>
      <c r="C6" s="11" t="s">
        <v>350</v>
      </c>
      <c r="D6" s="781" t="str">
        <f>Translations!$B$1568</f>
        <v>Scheda "Sintesi"</v>
      </c>
      <c r="E6" s="724"/>
      <c r="F6" s="724"/>
      <c r="G6" s="724"/>
      <c r="H6" s="724"/>
      <c r="I6" s="724"/>
      <c r="J6" s="724"/>
      <c r="K6" s="724"/>
      <c r="L6" s="724"/>
      <c r="M6" s="724"/>
      <c r="N6" s="724"/>
      <c r="O6" s="9"/>
      <c r="P6" s="9"/>
      <c r="Q6" s="441" t="s">
        <v>332</v>
      </c>
      <c r="R6" s="441" t="s">
        <v>332</v>
      </c>
      <c r="S6" s="441" t="s">
        <v>332</v>
      </c>
      <c r="T6" s="441" t="s">
        <v>332</v>
      </c>
      <c r="U6" s="441" t="s">
        <v>332</v>
      </c>
      <c r="V6" s="441" t="s">
        <v>332</v>
      </c>
      <c r="W6" s="441" t="s">
        <v>332</v>
      </c>
      <c r="X6" s="441" t="s">
        <v>332</v>
      </c>
      <c r="Y6" s="441" t="s">
        <v>332</v>
      </c>
      <c r="Z6" s="441" t="s">
        <v>332</v>
      </c>
      <c r="AA6" s="422"/>
      <c r="AB6" s="422"/>
      <c r="AC6" s="422"/>
      <c r="AD6" s="422"/>
      <c r="AE6" s="422"/>
      <c r="AF6" s="422"/>
      <c r="AG6" s="422"/>
      <c r="AH6" s="422"/>
      <c r="AI6" s="422"/>
      <c r="AJ6" s="422"/>
      <c r="AK6" s="422"/>
      <c r="AL6" s="422"/>
      <c r="AM6" s="422"/>
      <c r="AN6" s="422"/>
      <c r="AO6" s="422"/>
      <c r="AP6" s="422"/>
      <c r="AQ6" s="422"/>
    </row>
    <row r="7" spans="1:43" s="521" customFormat="1" ht="12.75" customHeight="1">
      <c r="A7" s="4"/>
      <c r="B7" s="5"/>
      <c r="C7" s="7"/>
      <c r="D7" s="5"/>
      <c r="E7" s="5"/>
      <c r="F7" s="5"/>
      <c r="G7" s="5"/>
      <c r="H7" s="5"/>
      <c r="I7" s="5"/>
      <c r="J7" s="5"/>
      <c r="K7" s="5"/>
      <c r="L7" s="5"/>
      <c r="M7" s="9"/>
      <c r="N7" s="9"/>
      <c r="O7" s="314"/>
      <c r="P7" s="9"/>
      <c r="Q7" s="440"/>
      <c r="R7" s="454"/>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row>
    <row r="8" spans="1:43" s="523" customFormat="1" ht="18" customHeight="1">
      <c r="A8" s="370"/>
      <c r="B8" s="208"/>
      <c r="C8" s="315" t="s">
        <v>41</v>
      </c>
      <c r="D8" s="331" t="str">
        <f>Translations!$B$1569</f>
        <v>Impianti interessati dalla fusione, dalla scissione o dal trasferimento</v>
      </c>
      <c r="E8" s="331"/>
      <c r="F8" s="331"/>
      <c r="G8" s="331"/>
      <c r="H8" s="331"/>
      <c r="I8" s="331"/>
      <c r="J8" s="331"/>
      <c r="K8" s="331"/>
      <c r="L8" s="331"/>
      <c r="M8" s="331"/>
      <c r="N8" s="331"/>
      <c r="O8" s="209"/>
      <c r="P8" s="209"/>
      <c r="Q8" s="362"/>
      <c r="R8" s="362"/>
      <c r="S8" s="362"/>
      <c r="T8" s="362"/>
      <c r="U8" s="362"/>
      <c r="V8" s="362"/>
      <c r="W8" s="362"/>
      <c r="X8" s="362"/>
      <c r="Y8" s="362"/>
      <c r="Z8" s="362"/>
      <c r="AA8" s="362"/>
      <c r="AB8" s="422"/>
      <c r="AC8" s="422"/>
      <c r="AD8" s="422"/>
      <c r="AE8" s="422"/>
      <c r="AF8" s="422"/>
      <c r="AG8" s="422"/>
      <c r="AH8" s="422"/>
      <c r="AI8" s="422"/>
      <c r="AJ8" s="422"/>
      <c r="AK8" s="422"/>
      <c r="AL8" s="422"/>
      <c r="AM8" s="422"/>
      <c r="AN8" s="422"/>
      <c r="AO8" s="422"/>
      <c r="AP8" s="422"/>
      <c r="AQ8" s="422"/>
    </row>
    <row r="9" spans="1:43" s="521" customFormat="1" ht="12.75" customHeight="1">
      <c r="A9" s="4"/>
      <c r="B9" s="5"/>
      <c r="C9" s="5"/>
      <c r="D9" s="5"/>
      <c r="E9" s="5"/>
      <c r="F9" s="5"/>
      <c r="G9" s="5"/>
      <c r="H9" s="5"/>
      <c r="I9" s="5"/>
      <c r="J9" s="5"/>
      <c r="K9" s="5"/>
      <c r="L9" s="5"/>
      <c r="M9" s="9"/>
      <c r="N9" s="9"/>
      <c r="O9" s="9"/>
      <c r="P9" s="9"/>
      <c r="Q9" s="440"/>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row>
    <row r="10" spans="1:43" s="524" customFormat="1" ht="15" customHeight="1">
      <c r="A10" s="207"/>
      <c r="B10" s="332"/>
      <c r="C10" s="336">
        <v>1</v>
      </c>
      <c r="D10" s="973" t="str">
        <f>Translations!$B$1492&amp;" "&amp;C10</f>
        <v>Impianto PRIMA della fusione, della scissione o del trasferimento 1</v>
      </c>
      <c r="E10" s="997"/>
      <c r="F10" s="997"/>
      <c r="G10" s="997"/>
      <c r="H10" s="997"/>
      <c r="I10" s="997"/>
      <c r="J10" s="997"/>
      <c r="K10" s="997"/>
      <c r="L10" s="997"/>
      <c r="M10" s="997"/>
      <c r="N10" s="997"/>
      <c r="O10" s="332"/>
      <c r="P10" s="332"/>
      <c r="Q10" s="444"/>
      <c r="R10" s="444"/>
      <c r="S10" s="444"/>
      <c r="T10" s="444"/>
      <c r="U10" s="444"/>
      <c r="V10" s="444"/>
      <c r="W10" s="444"/>
      <c r="X10" s="444"/>
      <c r="Y10" s="444"/>
      <c r="Z10" s="444"/>
      <c r="AA10" s="444"/>
      <c r="AB10" s="422"/>
      <c r="AC10" s="422"/>
      <c r="AD10" s="422"/>
      <c r="AE10" s="422"/>
      <c r="AF10" s="422"/>
      <c r="AG10" s="422"/>
      <c r="AH10" s="422"/>
      <c r="AI10" s="422"/>
      <c r="AJ10" s="422"/>
      <c r="AK10" s="422"/>
      <c r="AL10" s="422"/>
      <c r="AM10" s="422"/>
      <c r="AN10" s="422"/>
      <c r="AO10" s="422"/>
      <c r="AP10" s="422"/>
      <c r="AQ10" s="422"/>
    </row>
    <row r="11" spans="1:43" s="521" customFormat="1" ht="12.75" customHeight="1">
      <c r="A11" s="4"/>
      <c r="B11" s="5"/>
      <c r="C11" s="5"/>
      <c r="D11" s="99" t="s">
        <v>462</v>
      </c>
      <c r="E11" s="728" t="str">
        <f>Translations!$B$346</f>
        <v>Denominazione dell'impianto:</v>
      </c>
      <c r="F11" s="724"/>
      <c r="G11" s="724"/>
      <c r="H11" s="724"/>
      <c r="I11" s="808"/>
      <c r="J11" s="797">
        <f>IF(S11=0,"",S11)</f>
      </c>
      <c r="K11" s="798"/>
      <c r="L11" s="798"/>
      <c r="M11" s="798"/>
      <c r="N11" s="799"/>
      <c r="O11" s="9"/>
      <c r="P11" s="9"/>
      <c r="Q11" s="440"/>
      <c r="R11" s="445">
        <f>C10</f>
        <v>1</v>
      </c>
      <c r="S11" s="422">
        <f>INDEX(A_InstallationData!$S$200:$S$273,MATCH(R11,A_InstallationData!$R$200:$R$273,0))</f>
      </c>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row>
    <row r="12" spans="1:43" s="521" customFormat="1" ht="12.75" customHeight="1">
      <c r="A12" s="4"/>
      <c r="B12" s="5"/>
      <c r="C12" s="5"/>
      <c r="D12" s="99" t="s">
        <v>249</v>
      </c>
      <c r="E12" s="728" t="str">
        <f>Translations!$B$354</f>
        <v>Identificativo univoco suggerito per la notifica alla Commissione:</v>
      </c>
      <c r="F12" s="724"/>
      <c r="G12" s="724"/>
      <c r="H12" s="724"/>
      <c r="I12" s="808"/>
      <c r="J12" s="797">
        <f>INDEX(A_InstallationData!$J$200:$J$273,MATCH(R12,A_InstallationData!$R$200:$R$273,0))</f>
      </c>
      <c r="K12" s="798"/>
      <c r="L12" s="798"/>
      <c r="M12" s="798"/>
      <c r="N12" s="799"/>
      <c r="O12" s="9"/>
      <c r="P12" s="9"/>
      <c r="Q12" s="440"/>
      <c r="R12" s="445">
        <f>R11</f>
        <v>1</v>
      </c>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row>
    <row r="13" spans="1:43" s="521" customFormat="1" ht="12.75" customHeight="1">
      <c r="A13" s="4"/>
      <c r="B13" s="5"/>
      <c r="C13" s="5"/>
      <c r="D13" s="5"/>
      <c r="E13" s="5"/>
      <c r="F13" s="5"/>
      <c r="G13" s="5"/>
      <c r="H13" s="5"/>
      <c r="I13" s="5"/>
      <c r="J13" s="5"/>
      <c r="K13" s="5"/>
      <c r="L13" s="5"/>
      <c r="M13" s="5"/>
      <c r="N13" s="5"/>
      <c r="O13" s="9"/>
      <c r="P13" s="9"/>
      <c r="Q13" s="440"/>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row>
    <row r="14" spans="1:43" s="524" customFormat="1" ht="15" customHeight="1">
      <c r="A14" s="207"/>
      <c r="B14" s="332"/>
      <c r="C14" s="336">
        <v>2</v>
      </c>
      <c r="D14" s="973" t="str">
        <f>Translations!$B$1492&amp;" "&amp;C14</f>
        <v>Impianto PRIMA della fusione, della scissione o del trasferimento 2</v>
      </c>
      <c r="E14" s="997"/>
      <c r="F14" s="997"/>
      <c r="G14" s="997"/>
      <c r="H14" s="997"/>
      <c r="I14" s="997"/>
      <c r="J14" s="997"/>
      <c r="K14" s="997"/>
      <c r="L14" s="997"/>
      <c r="M14" s="997"/>
      <c r="N14" s="997"/>
      <c r="O14" s="332"/>
      <c r="P14" s="332"/>
      <c r="Q14" s="444"/>
      <c r="R14" s="444"/>
      <c r="S14" s="444"/>
      <c r="T14" s="444"/>
      <c r="U14" s="444"/>
      <c r="V14" s="444"/>
      <c r="W14" s="444"/>
      <c r="X14" s="444"/>
      <c r="Y14" s="444"/>
      <c r="Z14" s="444"/>
      <c r="AA14" s="444"/>
      <c r="AB14" s="422"/>
      <c r="AC14" s="422"/>
      <c r="AD14" s="422"/>
      <c r="AE14" s="422"/>
      <c r="AF14" s="422"/>
      <c r="AG14" s="422"/>
      <c r="AH14" s="422"/>
      <c r="AI14" s="422"/>
      <c r="AJ14" s="422"/>
      <c r="AK14" s="422"/>
      <c r="AL14" s="422"/>
      <c r="AM14" s="422"/>
      <c r="AN14" s="422"/>
      <c r="AO14" s="422"/>
      <c r="AP14" s="422"/>
      <c r="AQ14" s="422"/>
    </row>
    <row r="15" spans="1:43" s="521" customFormat="1" ht="12.75" customHeight="1">
      <c r="A15" s="4"/>
      <c r="B15" s="5"/>
      <c r="C15" s="5"/>
      <c r="D15" s="14" t="s">
        <v>462</v>
      </c>
      <c r="E15" s="728" t="str">
        <f>Translations!$B$346</f>
        <v>Denominazione dell'impianto:</v>
      </c>
      <c r="F15" s="724"/>
      <c r="G15" s="724"/>
      <c r="H15" s="724"/>
      <c r="I15" s="808"/>
      <c r="J15" s="797">
        <f>IF(S15=0,"",S15)</f>
      </c>
      <c r="K15" s="798"/>
      <c r="L15" s="798"/>
      <c r="M15" s="798"/>
      <c r="N15" s="799"/>
      <c r="O15" s="9"/>
      <c r="P15" s="9"/>
      <c r="Q15" s="440"/>
      <c r="R15" s="445">
        <f>C14</f>
        <v>2</v>
      </c>
      <c r="S15" s="422">
        <f>INDEX(A_InstallationData!$S$200:$S$273,MATCH(R15,A_InstallationData!$R$200:$R$273,0))</f>
        <v>0</v>
      </c>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row>
    <row r="16" spans="1:43" s="521" customFormat="1" ht="12.75" customHeight="1">
      <c r="A16" s="4"/>
      <c r="B16" s="5"/>
      <c r="C16" s="5"/>
      <c r="D16" s="14" t="s">
        <v>249</v>
      </c>
      <c r="E16" s="728" t="str">
        <f>Translations!$B$354</f>
        <v>Identificativo univoco suggerito per la notifica alla Commissione:</v>
      </c>
      <c r="F16" s="724"/>
      <c r="G16" s="724"/>
      <c r="H16" s="724"/>
      <c r="I16" s="808"/>
      <c r="J16" s="797">
        <f>INDEX(A_InstallationData!$J$200:$J$273,MATCH(R16,A_InstallationData!$R$200:$R$273,0))</f>
      </c>
      <c r="K16" s="798"/>
      <c r="L16" s="798"/>
      <c r="M16" s="798"/>
      <c r="N16" s="799"/>
      <c r="O16" s="9"/>
      <c r="P16" s="9"/>
      <c r="Q16" s="440"/>
      <c r="R16" s="445">
        <f>R15</f>
        <v>2</v>
      </c>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row>
    <row r="17" spans="1:43" s="521" customFormat="1" ht="12.75" customHeight="1">
      <c r="A17" s="4"/>
      <c r="B17" s="5"/>
      <c r="C17" s="5"/>
      <c r="D17" s="5"/>
      <c r="E17" s="5"/>
      <c r="F17" s="5"/>
      <c r="G17" s="5"/>
      <c r="H17" s="5"/>
      <c r="I17" s="5"/>
      <c r="J17" s="5"/>
      <c r="K17" s="5"/>
      <c r="L17" s="5"/>
      <c r="M17" s="9"/>
      <c r="N17" s="9"/>
      <c r="O17" s="9"/>
      <c r="P17" s="9"/>
      <c r="Q17" s="440"/>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row>
    <row r="18" spans="1:43" s="524" customFormat="1" ht="15" customHeight="1">
      <c r="A18" s="207"/>
      <c r="B18" s="332"/>
      <c r="C18" s="336">
        <v>3</v>
      </c>
      <c r="D18" s="973" t="str">
        <f>Translations!$B$1493&amp;" "&amp;C18</f>
        <v>Impianto DOPO la fusione, la scissione o il trasferimento (per il quale viene presentata la presente domanda) 3</v>
      </c>
      <c r="E18" s="997"/>
      <c r="F18" s="997"/>
      <c r="G18" s="997"/>
      <c r="H18" s="997"/>
      <c r="I18" s="997"/>
      <c r="J18" s="997"/>
      <c r="K18" s="997"/>
      <c r="L18" s="997"/>
      <c r="M18" s="997"/>
      <c r="N18" s="997"/>
      <c r="O18" s="332"/>
      <c r="P18" s="332"/>
      <c r="Q18" s="444"/>
      <c r="R18" s="444"/>
      <c r="S18" s="444"/>
      <c r="T18" s="444"/>
      <c r="U18" s="444"/>
      <c r="V18" s="444"/>
      <c r="W18" s="444"/>
      <c r="X18" s="444"/>
      <c r="Y18" s="444"/>
      <c r="Z18" s="444"/>
      <c r="AA18" s="444"/>
      <c r="AB18" s="422"/>
      <c r="AC18" s="422"/>
      <c r="AD18" s="422"/>
      <c r="AE18" s="422"/>
      <c r="AF18" s="422"/>
      <c r="AG18" s="422"/>
      <c r="AH18" s="422"/>
      <c r="AI18" s="422"/>
      <c r="AJ18" s="422"/>
      <c r="AK18" s="422"/>
      <c r="AL18" s="422"/>
      <c r="AM18" s="422"/>
      <c r="AN18" s="422"/>
      <c r="AO18" s="422"/>
      <c r="AP18" s="422"/>
      <c r="AQ18" s="422"/>
    </row>
    <row r="19" spans="1:43" s="521" customFormat="1" ht="12.75" customHeight="1">
      <c r="A19" s="4"/>
      <c r="B19" s="5"/>
      <c r="C19" s="5"/>
      <c r="D19" s="99" t="s">
        <v>462</v>
      </c>
      <c r="E19" s="728" t="str">
        <f>Translations!$B$346</f>
        <v>Denominazione dell'impianto:</v>
      </c>
      <c r="F19" s="724"/>
      <c r="G19" s="724"/>
      <c r="H19" s="724"/>
      <c r="I19" s="808"/>
      <c r="J19" s="797">
        <f>IF(S19=0,"",S19)</f>
      </c>
      <c r="K19" s="798"/>
      <c r="L19" s="798"/>
      <c r="M19" s="798"/>
      <c r="N19" s="799"/>
      <c r="O19" s="9"/>
      <c r="P19" s="9"/>
      <c r="Q19" s="440"/>
      <c r="R19" s="445">
        <f>C18</f>
        <v>3</v>
      </c>
      <c r="S19" s="422">
        <f>INDEX(A_InstallationData!$S$200:$S$273,MATCH(R19,A_InstallationData!$R$200:$R$273,0))</f>
      </c>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row>
    <row r="20" spans="1:43" s="521" customFormat="1" ht="12.75" customHeight="1">
      <c r="A20" s="4"/>
      <c r="B20" s="5"/>
      <c r="C20" s="5"/>
      <c r="D20" s="99" t="s">
        <v>249</v>
      </c>
      <c r="E20" s="728" t="str">
        <f>Translations!$B$354</f>
        <v>Identificativo univoco suggerito per la notifica alla Commissione:</v>
      </c>
      <c r="F20" s="724"/>
      <c r="G20" s="724"/>
      <c r="H20" s="724"/>
      <c r="I20" s="808"/>
      <c r="J20" s="797">
        <f>INDEX(A_InstallationData!$J$200:$J$273,MATCH(R20,A_InstallationData!$R$200:$R$273,0))</f>
      </c>
      <c r="K20" s="798"/>
      <c r="L20" s="798"/>
      <c r="M20" s="798"/>
      <c r="N20" s="799"/>
      <c r="O20" s="9"/>
      <c r="P20" s="9"/>
      <c r="Q20" s="440"/>
      <c r="R20" s="445">
        <f>R19</f>
        <v>3</v>
      </c>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row>
    <row r="21" spans="1:43" s="521" customFormat="1" ht="12.75" customHeight="1">
      <c r="A21" s="4"/>
      <c r="B21" s="5"/>
      <c r="C21" s="5"/>
      <c r="D21" s="5"/>
      <c r="E21" s="5"/>
      <c r="F21" s="5"/>
      <c r="G21" s="5"/>
      <c r="H21" s="5"/>
      <c r="I21" s="5"/>
      <c r="J21" s="5"/>
      <c r="K21" s="5"/>
      <c r="L21" s="5"/>
      <c r="M21" s="9"/>
      <c r="N21" s="9"/>
      <c r="O21" s="9"/>
      <c r="P21" s="9"/>
      <c r="Q21" s="440"/>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row>
    <row r="22" spans="1:43" s="524" customFormat="1" ht="15" customHeight="1">
      <c r="A22" s="207"/>
      <c r="B22" s="332"/>
      <c r="C22" s="336">
        <v>4</v>
      </c>
      <c r="D22" s="973" t="str">
        <f>Translations!$B$1494&amp;" "&amp;C22</f>
        <v>Impianto DOPO la fusione, la scissione o il trasferimento 4</v>
      </c>
      <c r="E22" s="997"/>
      <c r="F22" s="997"/>
      <c r="G22" s="997"/>
      <c r="H22" s="997"/>
      <c r="I22" s="997"/>
      <c r="J22" s="997"/>
      <c r="K22" s="997"/>
      <c r="L22" s="997"/>
      <c r="M22" s="997"/>
      <c r="N22" s="997"/>
      <c r="O22" s="332"/>
      <c r="P22" s="332"/>
      <c r="Q22" s="444"/>
      <c r="R22" s="444"/>
      <c r="S22" s="444"/>
      <c r="T22" s="444"/>
      <c r="U22" s="444"/>
      <c r="V22" s="444"/>
      <c r="W22" s="444"/>
      <c r="X22" s="444"/>
      <c r="Y22" s="444"/>
      <c r="Z22" s="444"/>
      <c r="AA22" s="444"/>
      <c r="AB22" s="422"/>
      <c r="AC22" s="422"/>
      <c r="AD22" s="422"/>
      <c r="AE22" s="422"/>
      <c r="AF22" s="422"/>
      <c r="AG22" s="422"/>
      <c r="AH22" s="422"/>
      <c r="AI22" s="422"/>
      <c r="AJ22" s="422"/>
      <c r="AK22" s="422"/>
      <c r="AL22" s="422"/>
      <c r="AM22" s="422"/>
      <c r="AN22" s="422"/>
      <c r="AO22" s="422"/>
      <c r="AP22" s="422"/>
      <c r="AQ22" s="422"/>
    </row>
    <row r="23" spans="1:43" s="521" customFormat="1" ht="12.75" customHeight="1">
      <c r="A23" s="4"/>
      <c r="B23" s="5"/>
      <c r="C23" s="5"/>
      <c r="D23" s="99" t="s">
        <v>462</v>
      </c>
      <c r="E23" s="728" t="str">
        <f>Translations!$B$346</f>
        <v>Denominazione dell'impianto:</v>
      </c>
      <c r="F23" s="724"/>
      <c r="G23" s="724"/>
      <c r="H23" s="724"/>
      <c r="I23" s="808"/>
      <c r="J23" s="797">
        <f>IF(S23=0,"",S23)</f>
      </c>
      <c r="K23" s="798"/>
      <c r="L23" s="798"/>
      <c r="M23" s="798"/>
      <c r="N23" s="799"/>
      <c r="O23" s="9"/>
      <c r="P23" s="9"/>
      <c r="Q23" s="440"/>
      <c r="R23" s="445">
        <f>C22</f>
        <v>4</v>
      </c>
      <c r="S23" s="422">
        <f>INDEX(A_InstallationData!$S$200:$S$273,MATCH(R23,A_InstallationData!$R$200:$R$273,0))</f>
        <v>0</v>
      </c>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row>
    <row r="24" spans="1:43" s="521" customFormat="1" ht="12.75" customHeight="1">
      <c r="A24" s="4"/>
      <c r="B24" s="5"/>
      <c r="C24" s="5"/>
      <c r="D24" s="99" t="s">
        <v>249</v>
      </c>
      <c r="E24" s="728" t="str">
        <f>Translations!$B$354</f>
        <v>Identificativo univoco suggerito per la notifica alla Commissione:</v>
      </c>
      <c r="F24" s="724"/>
      <c r="G24" s="724"/>
      <c r="H24" s="724"/>
      <c r="I24" s="808"/>
      <c r="J24" s="797">
        <f>INDEX(A_InstallationData!$J$200:$J$273,MATCH(R24,A_InstallationData!$R$200:$R$273,0))</f>
      </c>
      <c r="K24" s="798"/>
      <c r="L24" s="798"/>
      <c r="M24" s="798"/>
      <c r="N24" s="799"/>
      <c r="O24" s="9"/>
      <c r="P24" s="9"/>
      <c r="Q24" s="440"/>
      <c r="R24" s="445">
        <f>R23</f>
        <v>4</v>
      </c>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row>
    <row r="25" spans="1:43" s="521" customFormat="1" ht="25.5" customHeight="1">
      <c r="A25" s="4"/>
      <c r="B25" s="5"/>
      <c r="C25" s="5"/>
      <c r="D25" s="5"/>
      <c r="E25" s="5"/>
      <c r="F25" s="5"/>
      <c r="G25" s="5"/>
      <c r="H25" s="5"/>
      <c r="I25" s="5"/>
      <c r="J25" s="5"/>
      <c r="K25" s="5"/>
      <c r="L25" s="5"/>
      <c r="M25" s="9"/>
      <c r="N25" s="9"/>
      <c r="O25" s="9"/>
      <c r="P25" s="9"/>
      <c r="Q25" s="440"/>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row>
    <row r="26" spans="1:43" s="523" customFormat="1" ht="18" customHeight="1">
      <c r="A26" s="370"/>
      <c r="B26" s="208"/>
      <c r="C26" s="315" t="s">
        <v>75</v>
      </c>
      <c r="D26" s="331" t="str">
        <f>Translations!$B$944</f>
        <v>Dati dell'impianto</v>
      </c>
      <c r="E26" s="331"/>
      <c r="F26" s="331"/>
      <c r="G26" s="331"/>
      <c r="H26" s="331"/>
      <c r="I26" s="331"/>
      <c r="J26" s="331"/>
      <c r="K26" s="331"/>
      <c r="L26" s="331"/>
      <c r="M26" s="331"/>
      <c r="N26" s="331"/>
      <c r="O26" s="209"/>
      <c r="P26" s="209"/>
      <c r="Q26" s="362"/>
      <c r="R26" s="362"/>
      <c r="S26" s="362"/>
      <c r="T26" s="362"/>
      <c r="U26" s="362"/>
      <c r="V26" s="362"/>
      <c r="W26" s="362"/>
      <c r="X26" s="362"/>
      <c r="Y26" s="362"/>
      <c r="Z26" s="362"/>
      <c r="AA26" s="362"/>
      <c r="AB26" s="422"/>
      <c r="AC26" s="422"/>
      <c r="AD26" s="422"/>
      <c r="AE26" s="422"/>
      <c r="AF26" s="422"/>
      <c r="AG26" s="422"/>
      <c r="AH26" s="422"/>
      <c r="AI26" s="422"/>
      <c r="AJ26" s="422"/>
      <c r="AK26" s="422"/>
      <c r="AL26" s="422"/>
      <c r="AM26" s="422"/>
      <c r="AN26" s="422"/>
      <c r="AO26" s="422"/>
      <c r="AP26" s="422"/>
      <c r="AQ26" s="422"/>
    </row>
    <row r="27" spans="1:43" s="527" customFormat="1" ht="4.5" customHeight="1">
      <c r="A27" s="318"/>
      <c r="B27" s="5"/>
      <c r="C27" s="5"/>
      <c r="D27" s="5"/>
      <c r="E27" s="5"/>
      <c r="F27" s="5"/>
      <c r="G27" s="5"/>
      <c r="H27" s="5"/>
      <c r="I27" s="5"/>
      <c r="J27" s="5"/>
      <c r="K27" s="5"/>
      <c r="L27" s="5"/>
      <c r="M27" s="9"/>
      <c r="N27" s="9"/>
      <c r="O27" s="9"/>
      <c r="P27" s="9"/>
      <c r="Q27" s="10"/>
      <c r="R27" s="10"/>
      <c r="S27" s="10"/>
      <c r="T27" s="10"/>
      <c r="U27" s="10"/>
      <c r="V27" s="10"/>
      <c r="W27" s="10"/>
      <c r="X27" s="10"/>
      <c r="Y27" s="10"/>
      <c r="Z27" s="10"/>
      <c r="AA27" s="10"/>
      <c r="AB27" s="422"/>
      <c r="AC27" s="422"/>
      <c r="AD27" s="422"/>
      <c r="AE27" s="422"/>
      <c r="AF27" s="422"/>
      <c r="AG27" s="422"/>
      <c r="AH27" s="422"/>
      <c r="AI27" s="422"/>
      <c r="AJ27" s="422"/>
      <c r="AK27" s="422"/>
      <c r="AL27" s="422"/>
      <c r="AM27" s="422"/>
      <c r="AN27" s="422"/>
      <c r="AO27" s="422"/>
      <c r="AP27" s="422"/>
      <c r="AQ27" s="422"/>
    </row>
    <row r="28" spans="1:43" s="527" customFormat="1" ht="12.75" customHeight="1">
      <c r="A28" s="318"/>
      <c r="B28" s="5"/>
      <c r="C28" s="5"/>
      <c r="D28" s="5"/>
      <c r="E28" s="5"/>
      <c r="F28" s="5"/>
      <c r="G28" s="5"/>
      <c r="H28" s="5"/>
      <c r="I28" s="5"/>
      <c r="J28" s="5"/>
      <c r="K28" s="5"/>
      <c r="L28" s="5"/>
      <c r="M28" s="9"/>
      <c r="N28" s="9"/>
      <c r="O28" s="9"/>
      <c r="P28" s="9"/>
      <c r="Q28" s="10"/>
      <c r="R28" s="10"/>
      <c r="S28" s="10"/>
      <c r="T28" s="10"/>
      <c r="U28" s="10"/>
      <c r="V28" s="10"/>
      <c r="W28" s="10"/>
      <c r="X28" s="10"/>
      <c r="Y28" s="10"/>
      <c r="Z28" s="10"/>
      <c r="AA28" s="10"/>
      <c r="AB28" s="422"/>
      <c r="AC28" s="422"/>
      <c r="AD28" s="422"/>
      <c r="AE28" s="422"/>
      <c r="AF28" s="422"/>
      <c r="AG28" s="422"/>
      <c r="AH28" s="422"/>
      <c r="AI28" s="422"/>
      <c r="AJ28" s="422"/>
      <c r="AK28" s="422"/>
      <c r="AL28" s="422"/>
      <c r="AM28" s="422"/>
      <c r="AN28" s="422"/>
      <c r="AO28" s="422"/>
      <c r="AP28" s="422"/>
      <c r="AQ28" s="422"/>
    </row>
    <row r="29" spans="1:43" s="527" customFormat="1" ht="4.5" customHeight="1">
      <c r="A29" s="318"/>
      <c r="B29" s="5"/>
      <c r="C29" s="5"/>
      <c r="D29" s="5"/>
      <c r="E29" s="5"/>
      <c r="F29" s="5"/>
      <c r="G29" s="5"/>
      <c r="H29" s="5"/>
      <c r="I29" s="5"/>
      <c r="J29" s="5"/>
      <c r="K29" s="5"/>
      <c r="L29" s="5"/>
      <c r="M29" s="9"/>
      <c r="N29" s="9"/>
      <c r="O29" s="9"/>
      <c r="P29" s="9"/>
      <c r="Q29" s="10"/>
      <c r="R29" s="10"/>
      <c r="S29" s="10"/>
      <c r="T29" s="10"/>
      <c r="U29" s="10"/>
      <c r="V29" s="10"/>
      <c r="W29" s="10"/>
      <c r="X29" s="10"/>
      <c r="Y29" s="10"/>
      <c r="Z29" s="10"/>
      <c r="AA29" s="10"/>
      <c r="AB29" s="422"/>
      <c r="AC29" s="422"/>
      <c r="AD29" s="422"/>
      <c r="AE29" s="422"/>
      <c r="AF29" s="422"/>
      <c r="AG29" s="422"/>
      <c r="AH29" s="422"/>
      <c r="AI29" s="422"/>
      <c r="AJ29" s="422"/>
      <c r="AK29" s="422"/>
      <c r="AL29" s="422"/>
      <c r="AM29" s="422"/>
      <c r="AN29" s="422"/>
      <c r="AO29" s="422"/>
      <c r="AP29" s="422"/>
      <c r="AQ29" s="422"/>
    </row>
    <row r="30" spans="1:43" s="521" customFormat="1" ht="25.5" customHeight="1">
      <c r="A30" s="4"/>
      <c r="B30" s="5"/>
      <c r="C30" s="5"/>
      <c r="D30" s="5"/>
      <c r="E30" s="1045">
        <f>IF(ISBLANK(A_InstallationData!E13),"",A_InstallationData!E13)</f>
      </c>
      <c r="F30" s="1045"/>
      <c r="G30" s="1045"/>
      <c r="H30" s="1045"/>
      <c r="I30" s="1045"/>
      <c r="J30" s="1045"/>
      <c r="K30" s="1045"/>
      <c r="L30" s="1045"/>
      <c r="M30" s="1045"/>
      <c r="N30" s="1045"/>
      <c r="O30" s="9"/>
      <c r="P30" s="9"/>
      <c r="Q30" s="440"/>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row>
    <row r="31" spans="1:43" s="527" customFormat="1" ht="25.5" customHeight="1">
      <c r="A31" s="318"/>
      <c r="B31" s="215"/>
      <c r="C31" s="215"/>
      <c r="D31" s="215"/>
      <c r="E31" s="1045">
        <f>IF(CNTR_HasEntries_A_II,IF(ISBLANK(A_InstallationData!E36),EUconst_ERR_Mandatory_g,A_InstallationData!E36),"")</f>
      </c>
      <c r="F31" s="1045"/>
      <c r="G31" s="1045"/>
      <c r="H31" s="1045"/>
      <c r="I31" s="1045"/>
      <c r="J31" s="1045"/>
      <c r="K31" s="1045"/>
      <c r="L31" s="1045"/>
      <c r="M31" s="1045"/>
      <c r="N31" s="1045"/>
      <c r="O31" s="215"/>
      <c r="P31" s="9"/>
      <c r="Q31" s="440"/>
      <c r="R31" s="318"/>
      <c r="S31" s="318"/>
      <c r="T31" s="318"/>
      <c r="U31" s="318"/>
      <c r="V31" s="318"/>
      <c r="W31" s="318"/>
      <c r="X31" s="318"/>
      <c r="Y31" s="318"/>
      <c r="Z31" s="318"/>
      <c r="AA31" s="318"/>
      <c r="AB31" s="422"/>
      <c r="AC31" s="422"/>
      <c r="AD31" s="422"/>
      <c r="AE31" s="422"/>
      <c r="AF31" s="422"/>
      <c r="AG31" s="422"/>
      <c r="AH31" s="422"/>
      <c r="AI31" s="422"/>
      <c r="AJ31" s="422"/>
      <c r="AK31" s="422"/>
      <c r="AL31" s="422"/>
      <c r="AM31" s="422"/>
      <c r="AN31" s="422"/>
      <c r="AO31" s="422"/>
      <c r="AP31" s="422"/>
      <c r="AQ31" s="422"/>
    </row>
    <row r="32" spans="1:43" s="521" customFormat="1" ht="12.75" customHeight="1">
      <c r="A32" s="4"/>
      <c r="B32" s="5"/>
      <c r="C32" s="5"/>
      <c r="D32" s="5"/>
      <c r="E32" s="5"/>
      <c r="F32" s="5"/>
      <c r="G32" s="5"/>
      <c r="H32" s="5"/>
      <c r="I32" s="5"/>
      <c r="J32" s="5"/>
      <c r="K32" s="5"/>
      <c r="L32" s="5"/>
      <c r="M32" s="9"/>
      <c r="N32" s="9"/>
      <c r="O32" s="9"/>
      <c r="P32" s="9"/>
      <c r="Q32" s="440"/>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row>
    <row r="33" spans="1:43" s="527" customFormat="1" ht="15">
      <c r="A33" s="318"/>
      <c r="B33" s="215"/>
      <c r="C33" s="16">
        <v>1</v>
      </c>
      <c r="D33" s="840" t="str">
        <f>Translations!$B$345</f>
        <v>Informazioni generali:</v>
      </c>
      <c r="E33" s="724"/>
      <c r="F33" s="724"/>
      <c r="G33" s="724"/>
      <c r="H33" s="724"/>
      <c r="I33" s="724"/>
      <c r="J33" s="724"/>
      <c r="K33" s="724"/>
      <c r="L33" s="724"/>
      <c r="M33" s="724"/>
      <c r="N33" s="724"/>
      <c r="O33" s="215"/>
      <c r="P33" s="9"/>
      <c r="Q33" s="318"/>
      <c r="R33" s="318"/>
      <c r="S33" s="318"/>
      <c r="T33" s="318"/>
      <c r="U33" s="318"/>
      <c r="V33" s="318"/>
      <c r="W33" s="318"/>
      <c r="X33" s="318"/>
      <c r="Y33" s="318"/>
      <c r="Z33" s="318"/>
      <c r="AA33" s="318"/>
      <c r="AB33" s="422"/>
      <c r="AC33" s="422"/>
      <c r="AD33" s="422"/>
      <c r="AE33" s="422"/>
      <c r="AF33" s="422"/>
      <c r="AG33" s="422"/>
      <c r="AH33" s="422"/>
      <c r="AI33" s="422"/>
      <c r="AJ33" s="422"/>
      <c r="AK33" s="422"/>
      <c r="AL33" s="422"/>
      <c r="AM33" s="422"/>
      <c r="AN33" s="422"/>
      <c r="AO33" s="422"/>
      <c r="AP33" s="422"/>
      <c r="AQ33" s="422"/>
    </row>
    <row r="34" spans="1:43" s="527" customFormat="1" ht="4.5" customHeight="1" thickBot="1">
      <c r="A34" s="318"/>
      <c r="B34" s="7"/>
      <c r="C34" s="7"/>
      <c r="D34" s="7"/>
      <c r="E34" s="7"/>
      <c r="F34" s="7"/>
      <c r="G34" s="7"/>
      <c r="H34" s="7"/>
      <c r="I34" s="7"/>
      <c r="J34" s="7"/>
      <c r="K34" s="7"/>
      <c r="L34" s="7"/>
      <c r="M34" s="23"/>
      <c r="N34" s="23"/>
      <c r="O34" s="23"/>
      <c r="P34" s="9"/>
      <c r="Q34" s="10"/>
      <c r="R34" s="10"/>
      <c r="S34" s="318"/>
      <c r="T34" s="318"/>
      <c r="U34" s="318"/>
      <c r="V34" s="318"/>
      <c r="W34" s="318"/>
      <c r="X34" s="318"/>
      <c r="Y34" s="318"/>
      <c r="Z34" s="318"/>
      <c r="AA34" s="318"/>
      <c r="AB34" s="422"/>
      <c r="AC34" s="422"/>
      <c r="AD34" s="422"/>
      <c r="AE34" s="422"/>
      <c r="AF34" s="422"/>
      <c r="AG34" s="422"/>
      <c r="AH34" s="422"/>
      <c r="AI34" s="422"/>
      <c r="AJ34" s="422"/>
      <c r="AK34" s="422"/>
      <c r="AL34" s="422"/>
      <c r="AM34" s="422"/>
      <c r="AN34" s="422"/>
      <c r="AO34" s="422"/>
      <c r="AP34" s="422"/>
      <c r="AQ34" s="422"/>
    </row>
    <row r="35" spans="1:43" s="527" customFormat="1" ht="13.5" thickBot="1">
      <c r="A35" s="318"/>
      <c r="B35" s="215"/>
      <c r="C35" s="215"/>
      <c r="D35" s="193"/>
      <c r="E35" s="213" t="str">
        <f>Translations!$B$949</f>
        <v>Identificativo dell'impianto:</v>
      </c>
      <c r="F35" s="95"/>
      <c r="G35" s="215"/>
      <c r="H35" s="1039">
        <f>CNTR_UniqueID</f>
      </c>
      <c r="I35" s="1040"/>
      <c r="J35" s="215"/>
      <c r="K35" s="213" t="str">
        <f>Translations!$B$950</f>
        <v>Stato membro:</v>
      </c>
      <c r="L35" s="216"/>
      <c r="M35" s="1039">
        <f>IF(ISBLANK(A_InstallationData!$J$51),"",A_InstallationData!$J$51)</f>
      </c>
      <c r="N35" s="1040"/>
      <c r="O35" s="215"/>
      <c r="P35" s="215"/>
      <c r="Q35" s="457">
        <v>3</v>
      </c>
      <c r="R35" s="318"/>
      <c r="S35" s="318"/>
      <c r="T35" s="318"/>
      <c r="U35" s="318"/>
      <c r="V35" s="318"/>
      <c r="W35" s="318"/>
      <c r="X35" s="318"/>
      <c r="Y35" s="318"/>
      <c r="Z35" s="318"/>
      <c r="AA35" s="318"/>
      <c r="AB35" s="422"/>
      <c r="AC35" s="422"/>
      <c r="AD35" s="422"/>
      <c r="AE35" s="422"/>
      <c r="AF35" s="422"/>
      <c r="AG35" s="422"/>
      <c r="AH35" s="422"/>
      <c r="AI35" s="422"/>
      <c r="AJ35" s="422"/>
      <c r="AK35" s="422"/>
      <c r="AL35" s="422"/>
      <c r="AM35" s="422"/>
      <c r="AN35" s="422"/>
      <c r="AO35" s="422"/>
      <c r="AP35" s="422"/>
      <c r="AQ35" s="422"/>
    </row>
    <row r="36" spans="1:43" s="527" customFormat="1" ht="12.75">
      <c r="A36" s="318"/>
      <c r="B36" s="215"/>
      <c r="C36" s="215"/>
      <c r="D36" s="193"/>
      <c r="E36" s="213" t="str">
        <f>Translations!$B$346</f>
        <v>Denominazione dell'impianto:</v>
      </c>
      <c r="F36" s="95"/>
      <c r="G36" s="215"/>
      <c r="H36" s="1039">
        <f>J19</f>
      </c>
      <c r="I36" s="1042"/>
      <c r="J36" s="1042"/>
      <c r="K36" s="1042"/>
      <c r="L36" s="1040"/>
      <c r="M36" s="215"/>
      <c r="N36" s="215"/>
      <c r="O36" s="215"/>
      <c r="P36" s="215"/>
      <c r="Q36" s="318"/>
      <c r="R36" s="318"/>
      <c r="S36" s="318"/>
      <c r="T36" s="318"/>
      <c r="U36" s="318"/>
      <c r="V36" s="318"/>
      <c r="W36" s="318"/>
      <c r="X36" s="318"/>
      <c r="Y36" s="318"/>
      <c r="Z36" s="318"/>
      <c r="AA36" s="318"/>
      <c r="AB36" s="422"/>
      <c r="AC36" s="422"/>
      <c r="AD36" s="422"/>
      <c r="AE36" s="422"/>
      <c r="AF36" s="422"/>
      <c r="AG36" s="422"/>
      <c r="AH36" s="422"/>
      <c r="AI36" s="422"/>
      <c r="AJ36" s="422"/>
      <c r="AK36" s="422"/>
      <c r="AL36" s="422"/>
      <c r="AM36" s="422"/>
      <c r="AN36" s="422"/>
      <c r="AO36" s="422"/>
      <c r="AP36" s="422"/>
      <c r="AQ36" s="422"/>
    </row>
    <row r="37" spans="1:43" s="527" customFormat="1" ht="12.75">
      <c r="A37" s="318"/>
      <c r="B37" s="215"/>
      <c r="C37" s="215"/>
      <c r="D37" s="193"/>
      <c r="E37" s="213" t="str">
        <f>Translations!$B$365</f>
        <v>Nome del gestore:</v>
      </c>
      <c r="F37" s="95"/>
      <c r="G37" s="215"/>
      <c r="H37" s="1039">
        <f>IF(ISBLANK(A_InstallationData!$J$81),"",A_InstallationData!$J$81)</f>
      </c>
      <c r="I37" s="1042"/>
      <c r="J37" s="1042"/>
      <c r="K37" s="1042"/>
      <c r="L37" s="1040"/>
      <c r="M37" s="215"/>
      <c r="N37" s="215"/>
      <c r="O37" s="215"/>
      <c r="P37" s="215"/>
      <c r="Q37" s="318"/>
      <c r="R37" s="318"/>
      <c r="S37" s="318"/>
      <c r="T37" s="318"/>
      <c r="U37" s="318"/>
      <c r="V37" s="318"/>
      <c r="W37" s="318"/>
      <c r="X37" s="318"/>
      <c r="Y37" s="318"/>
      <c r="Z37" s="318"/>
      <c r="AA37" s="318"/>
      <c r="AB37" s="422"/>
      <c r="AC37" s="422"/>
      <c r="AD37" s="422"/>
      <c r="AE37" s="422"/>
      <c r="AF37" s="422"/>
      <c r="AG37" s="422"/>
      <c r="AH37" s="422"/>
      <c r="AI37" s="422"/>
      <c r="AJ37" s="422"/>
      <c r="AK37" s="422"/>
      <c r="AL37" s="422"/>
      <c r="AM37" s="422"/>
      <c r="AN37" s="422"/>
      <c r="AO37" s="422"/>
      <c r="AP37" s="422"/>
      <c r="AQ37" s="422"/>
    </row>
    <row r="38" spans="1:43" s="527" customFormat="1" ht="4.5" customHeight="1">
      <c r="A38" s="318"/>
      <c r="B38" s="215"/>
      <c r="C38" s="215"/>
      <c r="D38" s="193"/>
      <c r="E38" s="213"/>
      <c r="F38" s="202"/>
      <c r="G38" s="215"/>
      <c r="H38" s="215"/>
      <c r="I38" s="215"/>
      <c r="J38" s="215"/>
      <c r="K38" s="215"/>
      <c r="L38" s="215"/>
      <c r="M38" s="304"/>
      <c r="N38" s="304"/>
      <c r="O38" s="215"/>
      <c r="P38" s="215"/>
      <c r="Q38" s="318"/>
      <c r="R38" s="318"/>
      <c r="S38" s="318"/>
      <c r="T38" s="318"/>
      <c r="U38" s="318"/>
      <c r="V38" s="318"/>
      <c r="W38" s="318"/>
      <c r="X38" s="318"/>
      <c r="Y38" s="318"/>
      <c r="Z38" s="318"/>
      <c r="AA38" s="318"/>
      <c r="AB38" s="422"/>
      <c r="AC38" s="422"/>
      <c r="AD38" s="422"/>
      <c r="AE38" s="422"/>
      <c r="AF38" s="422"/>
      <c r="AG38" s="422"/>
      <c r="AH38" s="422"/>
      <c r="AI38" s="422"/>
      <c r="AJ38" s="422"/>
      <c r="AK38" s="422"/>
      <c r="AL38" s="422"/>
      <c r="AM38" s="422"/>
      <c r="AN38" s="422"/>
      <c r="AO38" s="422"/>
      <c r="AP38" s="422"/>
      <c r="AQ38" s="422"/>
    </row>
    <row r="39" spans="1:43" s="527" customFormat="1" ht="12.75">
      <c r="A39" s="318"/>
      <c r="B39" s="215"/>
      <c r="C39" s="215"/>
      <c r="D39" s="193"/>
      <c r="E39" s="213" t="str">
        <f>Translations!$B$952</f>
        <v>Rientrante in precedenza nel sistema ETS:</v>
      </c>
      <c r="F39" s="95"/>
      <c r="G39" s="215"/>
      <c r="H39" s="220">
        <f>IF(ISBLANK(A_InstallationData!$J$54),"",A_InstallationData!$J$54)</f>
      </c>
      <c r="I39" s="101"/>
      <c r="J39" s="101"/>
      <c r="K39" s="26" t="str">
        <f>Translations!$B$974</f>
        <v>Attivo occasionalmente:</v>
      </c>
      <c r="L39" s="215"/>
      <c r="M39" s="1043">
        <f>IF(ISBLANK(A_InstallationData!$L$144),"",A_InstallationData!$L$144)</f>
      </c>
      <c r="N39" s="1044"/>
      <c r="O39" s="215"/>
      <c r="P39" s="215"/>
      <c r="Q39" s="318"/>
      <c r="R39" s="318"/>
      <c r="S39" s="318"/>
      <c r="T39" s="318"/>
      <c r="U39" s="318"/>
      <c r="V39" s="318"/>
      <c r="W39" s="318"/>
      <c r="X39" s="318"/>
      <c r="Y39" s="318"/>
      <c r="Z39" s="318"/>
      <c r="AA39" s="318"/>
      <c r="AB39" s="422"/>
      <c r="AC39" s="422"/>
      <c r="AD39" s="422"/>
      <c r="AE39" s="422"/>
      <c r="AF39" s="422"/>
      <c r="AG39" s="422"/>
      <c r="AH39" s="422"/>
      <c r="AI39" s="422"/>
      <c r="AJ39" s="422"/>
      <c r="AK39" s="422"/>
      <c r="AL39" s="422"/>
      <c r="AM39" s="422"/>
      <c r="AN39" s="422"/>
      <c r="AO39" s="422"/>
      <c r="AP39" s="422"/>
      <c r="AQ39" s="422"/>
    </row>
    <row r="40" spans="1:43" s="527" customFormat="1" ht="12.75">
      <c r="A40" s="318"/>
      <c r="B40" s="215"/>
      <c r="C40" s="215"/>
      <c r="D40" s="193"/>
      <c r="E40" s="213" t="str">
        <f>Translations!$B$954</f>
        <v>Data di inizio:</v>
      </c>
      <c r="F40" s="215"/>
      <c r="G40" s="215"/>
      <c r="H40" s="497">
        <f>IF(A_InstallationData!$Q$18="","",A_InstallationData!$Q$18)</f>
      </c>
      <c r="I40" s="215"/>
      <c r="J40" s="215"/>
      <c r="K40" s="215"/>
      <c r="L40" s="215"/>
      <c r="M40" s="215"/>
      <c r="N40" s="221"/>
      <c r="O40" s="215"/>
      <c r="P40" s="215"/>
      <c r="Q40" s="318"/>
      <c r="R40" s="318"/>
      <c r="S40" s="318"/>
      <c r="T40" s="318"/>
      <c r="U40" s="318"/>
      <c r="V40" s="318"/>
      <c r="W40" s="318"/>
      <c r="X40" s="318"/>
      <c r="Y40" s="318"/>
      <c r="Z40" s="318"/>
      <c r="AA40" s="318"/>
      <c r="AB40" s="422"/>
      <c r="AC40" s="422"/>
      <c r="AD40" s="422"/>
      <c r="AE40" s="422"/>
      <c r="AF40" s="422"/>
      <c r="AG40" s="422"/>
      <c r="AH40" s="422"/>
      <c r="AI40" s="422"/>
      <c r="AJ40" s="422"/>
      <c r="AK40" s="422"/>
      <c r="AL40" s="422"/>
      <c r="AM40" s="422"/>
      <c r="AN40" s="422"/>
      <c r="AO40" s="422"/>
      <c r="AP40" s="422"/>
      <c r="AQ40" s="422"/>
    </row>
    <row r="41" spans="1:43" s="527" customFormat="1" ht="4.5" customHeight="1">
      <c r="A41" s="318"/>
      <c r="B41" s="215"/>
      <c r="C41" s="215"/>
      <c r="D41" s="193"/>
      <c r="E41" s="213"/>
      <c r="F41" s="202"/>
      <c r="G41" s="215"/>
      <c r="H41" s="215"/>
      <c r="I41" s="215"/>
      <c r="J41" s="215"/>
      <c r="K41" s="215"/>
      <c r="L41" s="215"/>
      <c r="M41" s="304"/>
      <c r="N41" s="304"/>
      <c r="O41" s="215"/>
      <c r="P41" s="215"/>
      <c r="Q41" s="318"/>
      <c r="R41" s="318"/>
      <c r="S41" s="318"/>
      <c r="T41" s="318"/>
      <c r="U41" s="318"/>
      <c r="V41" s="318"/>
      <c r="W41" s="318"/>
      <c r="X41" s="318"/>
      <c r="Y41" s="318"/>
      <c r="Z41" s="318"/>
      <c r="AA41" s="318"/>
      <c r="AB41" s="422"/>
      <c r="AC41" s="422"/>
      <c r="AD41" s="422"/>
      <c r="AE41" s="422"/>
      <c r="AF41" s="422"/>
      <c r="AG41" s="422"/>
      <c r="AH41" s="422"/>
      <c r="AI41" s="422"/>
      <c r="AJ41" s="422"/>
      <c r="AK41" s="422"/>
      <c r="AL41" s="422"/>
      <c r="AM41" s="422"/>
      <c r="AN41" s="422"/>
      <c r="AO41" s="422"/>
      <c r="AP41" s="422"/>
      <c r="AQ41" s="422"/>
    </row>
    <row r="42" spans="1:43" s="527" customFormat="1" ht="12.75">
      <c r="A42" s="318"/>
      <c r="B42" s="215"/>
      <c r="C42" s="215"/>
      <c r="D42" s="215"/>
      <c r="E42" s="213" t="str">
        <f>Translations!$B$955</f>
        <v>Codice NACE nel 2007 (NACE Rev. 1.1):</v>
      </c>
      <c r="F42" s="95"/>
      <c r="G42" s="97"/>
      <c r="H42" s="220">
        <f>IF(ISBLANK(A_InstallationData!$L$131),"",A_InstallationData!$L$131)</f>
      </c>
      <c r="I42" s="97"/>
      <c r="J42" s="97"/>
      <c r="K42" s="26" t="str">
        <f>Translations!$B$956</f>
        <v>Identificativo EPRTR:</v>
      </c>
      <c r="L42" s="97"/>
      <c r="M42" s="1039">
        <f>IF(ISBLANK(A_InstallationData!$L$134),"",A_InstallationData!$L$134)</f>
      </c>
      <c r="N42" s="1040"/>
      <c r="O42" s="215"/>
      <c r="P42" s="363"/>
      <c r="Q42" s="318"/>
      <c r="R42" s="318"/>
      <c r="S42" s="318"/>
      <c r="T42" s="318"/>
      <c r="U42" s="318"/>
      <c r="V42" s="318"/>
      <c r="W42" s="318"/>
      <c r="X42" s="318"/>
      <c r="Y42" s="318"/>
      <c r="Z42" s="318"/>
      <c r="AA42" s="318"/>
      <c r="AB42" s="422"/>
      <c r="AC42" s="422"/>
      <c r="AD42" s="422"/>
      <c r="AE42" s="422"/>
      <c r="AF42" s="422"/>
      <c r="AG42" s="422"/>
      <c r="AH42" s="422"/>
      <c r="AI42" s="422"/>
      <c r="AJ42" s="422"/>
      <c r="AK42" s="422"/>
      <c r="AL42" s="422"/>
      <c r="AM42" s="422"/>
      <c r="AN42" s="422"/>
      <c r="AO42" s="422"/>
      <c r="AP42" s="422"/>
      <c r="AQ42" s="422"/>
    </row>
    <row r="43" spans="1:43" s="527" customFormat="1" ht="12.75">
      <c r="A43" s="318"/>
      <c r="B43" s="215"/>
      <c r="C43" s="215"/>
      <c r="D43" s="193"/>
      <c r="E43" s="213" t="str">
        <f>Translations!$B$957</f>
        <v>Codice NACE nel 2010 (NACE Rev. 2):</v>
      </c>
      <c r="F43" s="95"/>
      <c r="G43" s="97"/>
      <c r="H43" s="220">
        <f>IF(ISBLANK(A_InstallationData!$L$132),"",A_InstallationData!$L$132)</f>
      </c>
      <c r="I43" s="97"/>
      <c r="J43" s="97"/>
      <c r="K43" s="215"/>
      <c r="L43" s="215"/>
      <c r="M43" s="215"/>
      <c r="N43" s="215"/>
      <c r="O43" s="215"/>
      <c r="P43" s="215"/>
      <c r="Q43" s="318"/>
      <c r="R43" s="318"/>
      <c r="S43" s="318"/>
      <c r="T43" s="318"/>
      <c r="U43" s="318"/>
      <c r="V43" s="318"/>
      <c r="W43" s="318"/>
      <c r="X43" s="318"/>
      <c r="Y43" s="318"/>
      <c r="Z43" s="318"/>
      <c r="AA43" s="318"/>
      <c r="AB43" s="422"/>
      <c r="AC43" s="422"/>
      <c r="AD43" s="422"/>
      <c r="AE43" s="422"/>
      <c r="AF43" s="422"/>
      <c r="AG43" s="422"/>
      <c r="AH43" s="422"/>
      <c r="AI43" s="422"/>
      <c r="AJ43" s="422"/>
      <c r="AK43" s="422"/>
      <c r="AL43" s="422"/>
      <c r="AM43" s="422"/>
      <c r="AN43" s="422"/>
      <c r="AO43" s="422"/>
      <c r="AP43" s="422"/>
      <c r="AQ43" s="422"/>
    </row>
    <row r="44" spans="1:43" s="527" customFormat="1" ht="4.5" customHeight="1">
      <c r="A44" s="318"/>
      <c r="B44" s="215"/>
      <c r="C44" s="215"/>
      <c r="D44" s="193"/>
      <c r="E44" s="213"/>
      <c r="F44" s="202"/>
      <c r="G44" s="202"/>
      <c r="H44" s="202"/>
      <c r="I44" s="202"/>
      <c r="J44" s="202"/>
      <c r="K44" s="202"/>
      <c r="L44" s="202"/>
      <c r="M44" s="304"/>
      <c r="N44" s="304"/>
      <c r="O44" s="215"/>
      <c r="P44" s="215"/>
      <c r="Q44" s="318"/>
      <c r="R44" s="318"/>
      <c r="S44" s="318"/>
      <c r="T44" s="318"/>
      <c r="U44" s="318"/>
      <c r="V44" s="318"/>
      <c r="W44" s="318"/>
      <c r="X44" s="318"/>
      <c r="Y44" s="318"/>
      <c r="Z44" s="318"/>
      <c r="AA44" s="318"/>
      <c r="AB44" s="422"/>
      <c r="AC44" s="422"/>
      <c r="AD44" s="422"/>
      <c r="AE44" s="422"/>
      <c r="AF44" s="422"/>
      <c r="AG44" s="422"/>
      <c r="AH44" s="422"/>
      <c r="AI44" s="422"/>
      <c r="AJ44" s="422"/>
      <c r="AK44" s="422"/>
      <c r="AL44" s="422"/>
      <c r="AM44" s="422"/>
      <c r="AN44" s="422"/>
      <c r="AO44" s="422"/>
      <c r="AP44" s="422"/>
      <c r="AQ44" s="422"/>
    </row>
    <row r="45" spans="1:43" s="527" customFormat="1" ht="12.75">
      <c r="A45" s="318"/>
      <c r="B45" s="215"/>
      <c r="C45" s="215"/>
      <c r="D45" s="193"/>
      <c r="E45" s="213" t="str">
        <f>Translations!$B$392</f>
        <v>Attività di cui all'allegato I della direttiva sul sistema ETS dell'UE:</v>
      </c>
      <c r="F45" s="215"/>
      <c r="G45" s="215"/>
      <c r="H45" s="95"/>
      <c r="I45" s="95"/>
      <c r="J45" s="95"/>
      <c r="K45" s="95"/>
      <c r="L45" s="215"/>
      <c r="M45" s="221"/>
      <c r="N45" s="221"/>
      <c r="O45" s="215"/>
      <c r="P45" s="215"/>
      <c r="Q45" s="318"/>
      <c r="R45" s="318"/>
      <c r="S45" s="318"/>
      <c r="T45" s="318"/>
      <c r="U45" s="318"/>
      <c r="V45" s="318"/>
      <c r="W45" s="318"/>
      <c r="X45" s="318"/>
      <c r="Y45" s="318"/>
      <c r="Z45" s="318"/>
      <c r="AA45" s="318"/>
      <c r="AB45" s="422"/>
      <c r="AC45" s="422"/>
      <c r="AD45" s="422"/>
      <c r="AE45" s="422"/>
      <c r="AF45" s="422"/>
      <c r="AG45" s="422"/>
      <c r="AH45" s="422"/>
      <c r="AI45" s="422"/>
      <c r="AJ45" s="422"/>
      <c r="AK45" s="422"/>
      <c r="AL45" s="422"/>
      <c r="AM45" s="422"/>
      <c r="AN45" s="422"/>
      <c r="AO45" s="422"/>
      <c r="AP45" s="422"/>
      <c r="AQ45" s="422"/>
    </row>
    <row r="46" spans="1:43" s="527" customFormat="1" ht="12.75">
      <c r="A46" s="318"/>
      <c r="B46" s="215"/>
      <c r="C46" s="215"/>
      <c r="D46" s="26"/>
      <c r="E46" s="496" t="s">
        <v>411</v>
      </c>
      <c r="F46" s="1046">
        <f>IF(ISBLANK(A_InstallationData!F117),"",A_InstallationData!F117)</f>
      </c>
      <c r="G46" s="1042"/>
      <c r="H46" s="1042"/>
      <c r="I46" s="1042"/>
      <c r="J46" s="1042"/>
      <c r="K46" s="1042"/>
      <c r="L46" s="1042"/>
      <c r="M46" s="1042"/>
      <c r="N46" s="1040"/>
      <c r="O46" s="215"/>
      <c r="P46" s="215"/>
      <c r="Q46" s="318"/>
      <c r="R46" s="318"/>
      <c r="S46" s="318"/>
      <c r="T46" s="318"/>
      <c r="U46" s="318"/>
      <c r="V46" s="318"/>
      <c r="W46" s="318"/>
      <c r="X46" s="318"/>
      <c r="Y46" s="318"/>
      <c r="Z46" s="318"/>
      <c r="AA46" s="318"/>
      <c r="AB46" s="422"/>
      <c r="AC46" s="422"/>
      <c r="AD46" s="422"/>
      <c r="AE46" s="422"/>
      <c r="AF46" s="422"/>
      <c r="AG46" s="422"/>
      <c r="AH46" s="422"/>
      <c r="AI46" s="422"/>
      <c r="AJ46" s="422"/>
      <c r="AK46" s="422"/>
      <c r="AL46" s="422"/>
      <c r="AM46" s="422"/>
      <c r="AN46" s="422"/>
      <c r="AO46" s="422"/>
      <c r="AP46" s="422"/>
      <c r="AQ46" s="422"/>
    </row>
    <row r="47" spans="1:43" s="527" customFormat="1" ht="12.75">
      <c r="A47" s="318"/>
      <c r="B47" s="215"/>
      <c r="C47" s="215"/>
      <c r="D47" s="193"/>
      <c r="E47" s="496" t="s">
        <v>412</v>
      </c>
      <c r="F47" s="1046">
        <f>IF(ISBLANK(A_InstallationData!F118),"",A_InstallationData!F118)</f>
      </c>
      <c r="G47" s="1042"/>
      <c r="H47" s="1042"/>
      <c r="I47" s="1042"/>
      <c r="J47" s="1042"/>
      <c r="K47" s="1042"/>
      <c r="L47" s="1042"/>
      <c r="M47" s="1042"/>
      <c r="N47" s="1040"/>
      <c r="O47" s="215"/>
      <c r="P47" s="215"/>
      <c r="Q47" s="318"/>
      <c r="R47" s="318"/>
      <c r="S47" s="318"/>
      <c r="T47" s="318"/>
      <c r="U47" s="318"/>
      <c r="V47" s="318"/>
      <c r="W47" s="318"/>
      <c r="X47" s="318"/>
      <c r="Y47" s="318"/>
      <c r="Z47" s="318"/>
      <c r="AA47" s="318"/>
      <c r="AB47" s="422"/>
      <c r="AC47" s="422"/>
      <c r="AD47" s="422"/>
      <c r="AE47" s="422"/>
      <c r="AF47" s="422"/>
      <c r="AG47" s="422"/>
      <c r="AH47" s="422"/>
      <c r="AI47" s="422"/>
      <c r="AJ47" s="422"/>
      <c r="AK47" s="422"/>
      <c r="AL47" s="422"/>
      <c r="AM47" s="422"/>
      <c r="AN47" s="422"/>
      <c r="AO47" s="422"/>
      <c r="AP47" s="422"/>
      <c r="AQ47" s="422"/>
    </row>
    <row r="48" spans="1:43" s="527" customFormat="1" ht="12.75">
      <c r="A48" s="318"/>
      <c r="B48" s="215"/>
      <c r="C48" s="215"/>
      <c r="D48" s="214"/>
      <c r="E48" s="496" t="s">
        <v>413</v>
      </c>
      <c r="F48" s="1046">
        <f>IF(ISBLANK(A_InstallationData!F119),"",A_InstallationData!F119)</f>
      </c>
      <c r="G48" s="1042"/>
      <c r="H48" s="1042"/>
      <c r="I48" s="1042"/>
      <c r="J48" s="1042"/>
      <c r="K48" s="1042"/>
      <c r="L48" s="1042"/>
      <c r="M48" s="1042"/>
      <c r="N48" s="1040"/>
      <c r="O48" s="215"/>
      <c r="P48" s="215"/>
      <c r="Q48" s="318"/>
      <c r="R48" s="318"/>
      <c r="S48" s="318"/>
      <c r="T48" s="318"/>
      <c r="U48" s="318"/>
      <c r="V48" s="318"/>
      <c r="W48" s="318"/>
      <c r="X48" s="318"/>
      <c r="Y48" s="318"/>
      <c r="Z48" s="318"/>
      <c r="AA48" s="318"/>
      <c r="AB48" s="422"/>
      <c r="AC48" s="422"/>
      <c r="AD48" s="422"/>
      <c r="AE48" s="422"/>
      <c r="AF48" s="422"/>
      <c r="AG48" s="422"/>
      <c r="AH48" s="422"/>
      <c r="AI48" s="422"/>
      <c r="AJ48" s="422"/>
      <c r="AK48" s="422"/>
      <c r="AL48" s="422"/>
      <c r="AM48" s="422"/>
      <c r="AN48" s="422"/>
      <c r="AO48" s="422"/>
      <c r="AP48" s="422"/>
      <c r="AQ48" s="422"/>
    </row>
    <row r="49" spans="1:43" s="527" customFormat="1" ht="12.75">
      <c r="A49" s="318"/>
      <c r="B49" s="215"/>
      <c r="C49" s="215"/>
      <c r="D49" s="214"/>
      <c r="E49" s="496" t="s">
        <v>414</v>
      </c>
      <c r="F49" s="1046">
        <f>IF(ISBLANK(A_InstallationData!F120),"",A_InstallationData!F120)</f>
      </c>
      <c r="G49" s="1042"/>
      <c r="H49" s="1042"/>
      <c r="I49" s="1042"/>
      <c r="J49" s="1042"/>
      <c r="K49" s="1042"/>
      <c r="L49" s="1042"/>
      <c r="M49" s="1042"/>
      <c r="N49" s="1040"/>
      <c r="O49" s="215"/>
      <c r="P49" s="215"/>
      <c r="Q49" s="318"/>
      <c r="R49" s="318"/>
      <c r="S49" s="318"/>
      <c r="T49" s="318"/>
      <c r="U49" s="318"/>
      <c r="V49" s="318"/>
      <c r="W49" s="318"/>
      <c r="X49" s="318"/>
      <c r="Y49" s="318"/>
      <c r="Z49" s="318"/>
      <c r="AA49" s="318"/>
      <c r="AB49" s="422"/>
      <c r="AC49" s="422"/>
      <c r="AD49" s="422"/>
      <c r="AE49" s="422"/>
      <c r="AF49" s="422"/>
      <c r="AG49" s="422"/>
      <c r="AH49" s="422"/>
      <c r="AI49" s="422"/>
      <c r="AJ49" s="422"/>
      <c r="AK49" s="422"/>
      <c r="AL49" s="422"/>
      <c r="AM49" s="422"/>
      <c r="AN49" s="422"/>
      <c r="AO49" s="422"/>
      <c r="AP49" s="422"/>
      <c r="AQ49" s="422"/>
    </row>
    <row r="50" spans="1:43" s="527" customFormat="1" ht="12.75">
      <c r="A50" s="318"/>
      <c r="B50" s="215"/>
      <c r="C50" s="215"/>
      <c r="D50" s="214"/>
      <c r="E50" s="496" t="s">
        <v>415</v>
      </c>
      <c r="F50" s="1046">
        <f>IF(ISBLANK(A_InstallationData!F121),"",A_InstallationData!F121)</f>
      </c>
      <c r="G50" s="1042"/>
      <c r="H50" s="1042"/>
      <c r="I50" s="1042"/>
      <c r="J50" s="1042"/>
      <c r="K50" s="1042"/>
      <c r="L50" s="1042"/>
      <c r="M50" s="1042"/>
      <c r="N50" s="1040"/>
      <c r="O50" s="215"/>
      <c r="P50" s="26"/>
      <c r="Q50" s="318"/>
      <c r="R50" s="318"/>
      <c r="S50" s="318"/>
      <c r="T50" s="318"/>
      <c r="U50" s="318"/>
      <c r="V50" s="318"/>
      <c r="W50" s="318"/>
      <c r="X50" s="318"/>
      <c r="Y50" s="318"/>
      <c r="Z50" s="318"/>
      <c r="AA50" s="318"/>
      <c r="AB50" s="422"/>
      <c r="AC50" s="422"/>
      <c r="AD50" s="422"/>
      <c r="AE50" s="422"/>
      <c r="AF50" s="422"/>
      <c r="AG50" s="422"/>
      <c r="AH50" s="422"/>
      <c r="AI50" s="422"/>
      <c r="AJ50" s="422"/>
      <c r="AK50" s="422"/>
      <c r="AL50" s="422"/>
      <c r="AM50" s="422"/>
      <c r="AN50" s="422"/>
      <c r="AO50" s="422"/>
      <c r="AP50" s="422"/>
      <c r="AQ50" s="422"/>
    </row>
    <row r="51" spans="1:43" s="527" customFormat="1" ht="12.75">
      <c r="A51" s="318"/>
      <c r="B51" s="215"/>
      <c r="C51" s="215"/>
      <c r="D51" s="215"/>
      <c r="E51" s="215"/>
      <c r="F51" s="215"/>
      <c r="G51" s="215"/>
      <c r="H51" s="215"/>
      <c r="I51" s="215"/>
      <c r="J51" s="215"/>
      <c r="K51" s="215"/>
      <c r="L51" s="215"/>
      <c r="M51" s="215"/>
      <c r="N51" s="215"/>
      <c r="O51" s="215"/>
      <c r="P51" s="215"/>
      <c r="Q51" s="318"/>
      <c r="R51" s="318"/>
      <c r="S51" s="318"/>
      <c r="T51" s="318"/>
      <c r="U51" s="318"/>
      <c r="V51" s="318"/>
      <c r="W51" s="318"/>
      <c r="X51" s="318"/>
      <c r="Y51" s="318"/>
      <c r="Z51" s="318"/>
      <c r="AA51" s="318"/>
      <c r="AB51" s="422"/>
      <c r="AC51" s="422"/>
      <c r="AD51" s="422"/>
      <c r="AE51" s="422"/>
      <c r="AF51" s="422"/>
      <c r="AG51" s="422"/>
      <c r="AH51" s="422"/>
      <c r="AI51" s="422"/>
      <c r="AJ51" s="422"/>
      <c r="AK51" s="422"/>
      <c r="AL51" s="422"/>
      <c r="AM51" s="422"/>
      <c r="AN51" s="422"/>
      <c r="AO51" s="422"/>
      <c r="AP51" s="422"/>
      <c r="AQ51" s="422"/>
    </row>
    <row r="52" spans="1:43" s="527" customFormat="1" ht="15">
      <c r="A52" s="318"/>
      <c r="B52" s="215"/>
      <c r="C52" s="16">
        <v>3</v>
      </c>
      <c r="D52" s="840" t="str">
        <f>Translations!$B$1361</f>
        <v>Collegamenti tecnici (sezione A.VI):</v>
      </c>
      <c r="E52" s="724"/>
      <c r="F52" s="724"/>
      <c r="G52" s="724"/>
      <c r="H52" s="724"/>
      <c r="I52" s="724"/>
      <c r="J52" s="724"/>
      <c r="K52" s="724"/>
      <c r="L52" s="724"/>
      <c r="M52" s="724"/>
      <c r="N52" s="724"/>
      <c r="O52" s="215"/>
      <c r="P52" s="215"/>
      <c r="Q52" s="318"/>
      <c r="R52" s="318"/>
      <c r="S52" s="318"/>
      <c r="T52" s="318"/>
      <c r="U52" s="318"/>
      <c r="V52" s="318"/>
      <c r="W52" s="318"/>
      <c r="X52" s="318"/>
      <c r="Y52" s="318"/>
      <c r="Z52" s="318"/>
      <c r="AA52" s="318"/>
      <c r="AB52" s="422"/>
      <c r="AC52" s="422"/>
      <c r="AD52" s="422"/>
      <c r="AE52" s="422"/>
      <c r="AF52" s="422"/>
      <c r="AG52" s="422"/>
      <c r="AH52" s="422"/>
      <c r="AI52" s="422"/>
      <c r="AJ52" s="422"/>
      <c r="AK52" s="422"/>
      <c r="AL52" s="422"/>
      <c r="AM52" s="422"/>
      <c r="AN52" s="422"/>
      <c r="AO52" s="422"/>
      <c r="AP52" s="422"/>
      <c r="AQ52" s="422"/>
    </row>
    <row r="53" spans="1:43" s="527" customFormat="1" ht="12.75">
      <c r="A53" s="318"/>
      <c r="B53" s="215"/>
      <c r="C53" s="215"/>
      <c r="D53" s="215"/>
      <c r="E53" s="1047" t="str">
        <f>Translations!$B$958</f>
        <v>Nome collegamento</v>
      </c>
      <c r="F53" s="1048"/>
      <c r="G53" s="1048"/>
      <c r="H53" s="1049"/>
      <c r="I53" s="1047" t="str">
        <f>Translations!$B$959</f>
        <v>Identificativo CITL, se applicabile</v>
      </c>
      <c r="J53" s="1048"/>
      <c r="K53" s="1049"/>
      <c r="L53" s="1047" t="str">
        <f>Translations!$B$960</f>
        <v>Tipo entità</v>
      </c>
      <c r="M53" s="1048"/>
      <c r="N53" s="1048"/>
      <c r="O53" s="215"/>
      <c r="P53" s="215"/>
      <c r="Q53" s="318"/>
      <c r="R53" s="318"/>
      <c r="S53" s="318"/>
      <c r="T53" s="318"/>
      <c r="U53" s="318"/>
      <c r="V53" s="318"/>
      <c r="W53" s="318"/>
      <c r="X53" s="318"/>
      <c r="Y53" s="318"/>
      <c r="Z53" s="318"/>
      <c r="AA53" s="318"/>
      <c r="AB53" s="422"/>
      <c r="AC53" s="422"/>
      <c r="AD53" s="422"/>
      <c r="AE53" s="422"/>
      <c r="AF53" s="422"/>
      <c r="AG53" s="422"/>
      <c r="AH53" s="422"/>
      <c r="AI53" s="422"/>
      <c r="AJ53" s="422"/>
      <c r="AK53" s="422"/>
      <c r="AL53" s="422"/>
      <c r="AM53" s="422"/>
      <c r="AN53" s="422"/>
      <c r="AO53" s="422"/>
      <c r="AP53" s="422"/>
      <c r="AQ53" s="422"/>
    </row>
    <row r="54" spans="1:43" s="527" customFormat="1" ht="12.75">
      <c r="A54" s="318"/>
      <c r="B54" s="215"/>
      <c r="C54" s="215"/>
      <c r="D54" s="215">
        <v>1</v>
      </c>
      <c r="E54" s="1039">
        <f aca="true" t="shared" si="0" ref="E54:E63">IF(INDEX(CNTR_ConnectionEntityList,$D54)=EUconst_NA,"",INDEX(CNTR_ConnectionEntityList,$D54))</f>
      </c>
      <c r="F54" s="1050"/>
      <c r="G54" s="1050"/>
      <c r="H54" s="1051"/>
      <c r="I54" s="1052">
        <f aca="true" t="shared" si="1" ref="I54:I63">INDEX(CNTR_ConnectionEntityListCITL_IDs,$D54)</f>
      </c>
      <c r="J54" s="1053"/>
      <c r="K54" s="1054"/>
      <c r="L54" s="1039">
        <f aca="true" t="shared" si="2" ref="L54:L63">INDEX(CNTR_ConnectionEntityListTypes,$D54)</f>
      </c>
      <c r="M54" s="1055"/>
      <c r="N54" s="1056"/>
      <c r="O54" s="215"/>
      <c r="P54" s="215"/>
      <c r="Q54" s="318"/>
      <c r="R54" s="318"/>
      <c r="S54" s="318"/>
      <c r="T54" s="318"/>
      <c r="U54" s="318"/>
      <c r="V54" s="318"/>
      <c r="W54" s="318"/>
      <c r="X54" s="318"/>
      <c r="Y54" s="318"/>
      <c r="Z54" s="318"/>
      <c r="AA54" s="318"/>
      <c r="AB54" s="422"/>
      <c r="AC54" s="422"/>
      <c r="AD54" s="422"/>
      <c r="AE54" s="422"/>
      <c r="AF54" s="422"/>
      <c r="AG54" s="422"/>
      <c r="AH54" s="422"/>
      <c r="AI54" s="422"/>
      <c r="AJ54" s="422"/>
      <c r="AK54" s="422"/>
      <c r="AL54" s="422"/>
      <c r="AM54" s="422"/>
      <c r="AN54" s="422"/>
      <c r="AO54" s="422"/>
      <c r="AP54" s="422"/>
      <c r="AQ54" s="422"/>
    </row>
    <row r="55" spans="1:43" s="527" customFormat="1" ht="12.75">
      <c r="A55" s="318"/>
      <c r="B55" s="215"/>
      <c r="C55" s="215"/>
      <c r="D55" s="215">
        <v>2</v>
      </c>
      <c r="E55" s="1039">
        <f t="shared" si="0"/>
      </c>
      <c r="F55" s="1050"/>
      <c r="G55" s="1050"/>
      <c r="H55" s="1051"/>
      <c r="I55" s="1052">
        <f t="shared" si="1"/>
      </c>
      <c r="J55" s="1053"/>
      <c r="K55" s="1054"/>
      <c r="L55" s="1039">
        <f t="shared" si="2"/>
      </c>
      <c r="M55" s="1055"/>
      <c r="N55" s="1056"/>
      <c r="O55" s="215"/>
      <c r="P55" s="215"/>
      <c r="Q55" s="318"/>
      <c r="R55" s="318"/>
      <c r="S55" s="318"/>
      <c r="T55" s="318"/>
      <c r="U55" s="318"/>
      <c r="V55" s="318"/>
      <c r="W55" s="318"/>
      <c r="X55" s="318"/>
      <c r="Y55" s="318"/>
      <c r="Z55" s="318"/>
      <c r="AA55" s="318"/>
      <c r="AB55" s="422"/>
      <c r="AC55" s="422"/>
      <c r="AD55" s="422"/>
      <c r="AE55" s="422"/>
      <c r="AF55" s="422"/>
      <c r="AG55" s="422"/>
      <c r="AH55" s="422"/>
      <c r="AI55" s="422"/>
      <c r="AJ55" s="422"/>
      <c r="AK55" s="422"/>
      <c r="AL55" s="422"/>
      <c r="AM55" s="422"/>
      <c r="AN55" s="422"/>
      <c r="AO55" s="422"/>
      <c r="AP55" s="422"/>
      <c r="AQ55" s="422"/>
    </row>
    <row r="56" spans="1:43" s="527" customFormat="1" ht="12.75">
      <c r="A56" s="318"/>
      <c r="B56" s="215"/>
      <c r="C56" s="215"/>
      <c r="D56" s="215">
        <v>3</v>
      </c>
      <c r="E56" s="1039">
        <f t="shared" si="0"/>
      </c>
      <c r="F56" s="1050"/>
      <c r="G56" s="1050"/>
      <c r="H56" s="1051"/>
      <c r="I56" s="1052">
        <f t="shared" si="1"/>
      </c>
      <c r="J56" s="1053"/>
      <c r="K56" s="1054"/>
      <c r="L56" s="1039">
        <f t="shared" si="2"/>
      </c>
      <c r="M56" s="1055"/>
      <c r="N56" s="1056"/>
      <c r="O56" s="215"/>
      <c r="P56" s="215"/>
      <c r="Q56" s="318"/>
      <c r="R56" s="318"/>
      <c r="S56" s="318"/>
      <c r="T56" s="318"/>
      <c r="U56" s="318"/>
      <c r="V56" s="318"/>
      <c r="W56" s="318"/>
      <c r="X56" s="318"/>
      <c r="Y56" s="318"/>
      <c r="Z56" s="318"/>
      <c r="AA56" s="318"/>
      <c r="AB56" s="422"/>
      <c r="AC56" s="422"/>
      <c r="AD56" s="422"/>
      <c r="AE56" s="422"/>
      <c r="AF56" s="422"/>
      <c r="AG56" s="422"/>
      <c r="AH56" s="422"/>
      <c r="AI56" s="422"/>
      <c r="AJ56" s="422"/>
      <c r="AK56" s="422"/>
      <c r="AL56" s="422"/>
      <c r="AM56" s="422"/>
      <c r="AN56" s="422"/>
      <c r="AO56" s="422"/>
      <c r="AP56" s="422"/>
      <c r="AQ56" s="422"/>
    </row>
    <row r="57" spans="1:43" s="527" customFormat="1" ht="12.75">
      <c r="A57" s="318"/>
      <c r="B57" s="215"/>
      <c r="C57" s="215"/>
      <c r="D57" s="215">
        <v>4</v>
      </c>
      <c r="E57" s="1039">
        <f t="shared" si="0"/>
      </c>
      <c r="F57" s="1050"/>
      <c r="G57" s="1050"/>
      <c r="H57" s="1051"/>
      <c r="I57" s="1052">
        <f t="shared" si="1"/>
      </c>
      <c r="J57" s="1053"/>
      <c r="K57" s="1054"/>
      <c r="L57" s="1039">
        <f t="shared" si="2"/>
      </c>
      <c r="M57" s="1055"/>
      <c r="N57" s="1056"/>
      <c r="O57" s="215"/>
      <c r="P57" s="215"/>
      <c r="Q57" s="318"/>
      <c r="R57" s="318"/>
      <c r="S57" s="318"/>
      <c r="T57" s="318"/>
      <c r="U57" s="318"/>
      <c r="V57" s="318"/>
      <c r="W57" s="318"/>
      <c r="X57" s="318"/>
      <c r="Y57" s="318"/>
      <c r="Z57" s="318"/>
      <c r="AA57" s="318"/>
      <c r="AB57" s="422"/>
      <c r="AC57" s="422"/>
      <c r="AD57" s="422"/>
      <c r="AE57" s="422"/>
      <c r="AF57" s="422"/>
      <c r="AG57" s="422"/>
      <c r="AH57" s="422"/>
      <c r="AI57" s="422"/>
      <c r="AJ57" s="422"/>
      <c r="AK57" s="422"/>
      <c r="AL57" s="422"/>
      <c r="AM57" s="422"/>
      <c r="AN57" s="422"/>
      <c r="AO57" s="422"/>
      <c r="AP57" s="422"/>
      <c r="AQ57" s="422"/>
    </row>
    <row r="58" spans="1:43" s="527" customFormat="1" ht="12.75">
      <c r="A58" s="318"/>
      <c r="B58" s="215"/>
      <c r="C58" s="215"/>
      <c r="D58" s="215">
        <v>5</v>
      </c>
      <c r="E58" s="1039">
        <f t="shared" si="0"/>
      </c>
      <c r="F58" s="1050"/>
      <c r="G58" s="1050"/>
      <c r="H58" s="1051"/>
      <c r="I58" s="1052">
        <f t="shared" si="1"/>
      </c>
      <c r="J58" s="1053"/>
      <c r="K58" s="1054"/>
      <c r="L58" s="1039">
        <f t="shared" si="2"/>
      </c>
      <c r="M58" s="1055"/>
      <c r="N58" s="1056"/>
      <c r="O58" s="215"/>
      <c r="P58" s="215"/>
      <c r="Q58" s="318"/>
      <c r="R58" s="318"/>
      <c r="S58" s="318"/>
      <c r="T58" s="318"/>
      <c r="U58" s="318"/>
      <c r="V58" s="318"/>
      <c r="W58" s="318"/>
      <c r="X58" s="318"/>
      <c r="Y58" s="318"/>
      <c r="Z58" s="318"/>
      <c r="AA58" s="318"/>
      <c r="AB58" s="422"/>
      <c r="AC58" s="422"/>
      <c r="AD58" s="422"/>
      <c r="AE58" s="422"/>
      <c r="AF58" s="422"/>
      <c r="AG58" s="422"/>
      <c r="AH58" s="422"/>
      <c r="AI58" s="422"/>
      <c r="AJ58" s="422"/>
      <c r="AK58" s="422"/>
      <c r="AL58" s="422"/>
      <c r="AM58" s="422"/>
      <c r="AN58" s="422"/>
      <c r="AO58" s="422"/>
      <c r="AP58" s="422"/>
      <c r="AQ58" s="422"/>
    </row>
    <row r="59" spans="1:43" s="527" customFormat="1" ht="12.75">
      <c r="A59" s="318"/>
      <c r="B59" s="215"/>
      <c r="C59" s="215"/>
      <c r="D59" s="215">
        <v>6</v>
      </c>
      <c r="E59" s="1039">
        <f t="shared" si="0"/>
      </c>
      <c r="F59" s="1050"/>
      <c r="G59" s="1050"/>
      <c r="H59" s="1051"/>
      <c r="I59" s="1052">
        <f t="shared" si="1"/>
      </c>
      <c r="J59" s="1053"/>
      <c r="K59" s="1054"/>
      <c r="L59" s="1039">
        <f t="shared" si="2"/>
      </c>
      <c r="M59" s="1055"/>
      <c r="N59" s="1056"/>
      <c r="O59" s="215"/>
      <c r="P59" s="215"/>
      <c r="Q59" s="318"/>
      <c r="R59" s="318"/>
      <c r="S59" s="318"/>
      <c r="T59" s="318"/>
      <c r="U59" s="318"/>
      <c r="V59" s="318"/>
      <c r="W59" s="318"/>
      <c r="X59" s="318"/>
      <c r="Y59" s="318"/>
      <c r="Z59" s="318"/>
      <c r="AA59" s="318"/>
      <c r="AB59" s="422"/>
      <c r="AC59" s="422"/>
      <c r="AD59" s="422"/>
      <c r="AE59" s="422"/>
      <c r="AF59" s="422"/>
      <c r="AG59" s="422"/>
      <c r="AH59" s="422"/>
      <c r="AI59" s="422"/>
      <c r="AJ59" s="422"/>
      <c r="AK59" s="422"/>
      <c r="AL59" s="422"/>
      <c r="AM59" s="422"/>
      <c r="AN59" s="422"/>
      <c r="AO59" s="422"/>
      <c r="AP59" s="422"/>
      <c r="AQ59" s="422"/>
    </row>
    <row r="60" spans="1:43" s="527" customFormat="1" ht="12.75">
      <c r="A60" s="318"/>
      <c r="B60" s="215"/>
      <c r="C60" s="215"/>
      <c r="D60" s="215">
        <v>7</v>
      </c>
      <c r="E60" s="1039">
        <f t="shared" si="0"/>
      </c>
      <c r="F60" s="1050"/>
      <c r="G60" s="1050"/>
      <c r="H60" s="1051"/>
      <c r="I60" s="1052">
        <f t="shared" si="1"/>
      </c>
      <c r="J60" s="1053"/>
      <c r="K60" s="1054"/>
      <c r="L60" s="1039">
        <f t="shared" si="2"/>
      </c>
      <c r="M60" s="1055"/>
      <c r="N60" s="1056"/>
      <c r="O60" s="215"/>
      <c r="P60" s="215"/>
      <c r="Q60" s="318"/>
      <c r="R60" s="318"/>
      <c r="S60" s="318"/>
      <c r="T60" s="318"/>
      <c r="U60" s="318"/>
      <c r="V60" s="318"/>
      <c r="W60" s="318"/>
      <c r="X60" s="318"/>
      <c r="Y60" s="318"/>
      <c r="Z60" s="318"/>
      <c r="AA60" s="318"/>
      <c r="AB60" s="422"/>
      <c r="AC60" s="422"/>
      <c r="AD60" s="422"/>
      <c r="AE60" s="422"/>
      <c r="AF60" s="422"/>
      <c r="AG60" s="422"/>
      <c r="AH60" s="422"/>
      <c r="AI60" s="422"/>
      <c r="AJ60" s="422"/>
      <c r="AK60" s="422"/>
      <c r="AL60" s="422"/>
      <c r="AM60" s="422"/>
      <c r="AN60" s="422"/>
      <c r="AO60" s="422"/>
      <c r="AP60" s="422"/>
      <c r="AQ60" s="422"/>
    </row>
    <row r="61" spans="1:43" s="527" customFormat="1" ht="12.75">
      <c r="A61" s="318"/>
      <c r="B61" s="215"/>
      <c r="C61" s="215"/>
      <c r="D61" s="215">
        <v>8</v>
      </c>
      <c r="E61" s="1039">
        <f t="shared" si="0"/>
      </c>
      <c r="F61" s="1050"/>
      <c r="G61" s="1050"/>
      <c r="H61" s="1051"/>
      <c r="I61" s="1052">
        <f t="shared" si="1"/>
      </c>
      <c r="J61" s="1053"/>
      <c r="K61" s="1054"/>
      <c r="L61" s="1039">
        <f t="shared" si="2"/>
      </c>
      <c r="M61" s="1055"/>
      <c r="N61" s="1056"/>
      <c r="O61" s="215"/>
      <c r="P61" s="215"/>
      <c r="Q61" s="318"/>
      <c r="R61" s="318"/>
      <c r="S61" s="318"/>
      <c r="T61" s="318"/>
      <c r="U61" s="318"/>
      <c r="V61" s="318"/>
      <c r="W61" s="318"/>
      <c r="X61" s="318"/>
      <c r="Y61" s="318"/>
      <c r="Z61" s="318"/>
      <c r="AA61" s="318"/>
      <c r="AB61" s="422"/>
      <c r="AC61" s="422"/>
      <c r="AD61" s="422"/>
      <c r="AE61" s="422"/>
      <c r="AF61" s="422"/>
      <c r="AG61" s="422"/>
      <c r="AH61" s="422"/>
      <c r="AI61" s="422"/>
      <c r="AJ61" s="422"/>
      <c r="AK61" s="422"/>
      <c r="AL61" s="422"/>
      <c r="AM61" s="422"/>
      <c r="AN61" s="422"/>
      <c r="AO61" s="422"/>
      <c r="AP61" s="422"/>
      <c r="AQ61" s="422"/>
    </row>
    <row r="62" spans="1:43" s="527" customFormat="1" ht="12.75">
      <c r="A62" s="318"/>
      <c r="B62" s="215"/>
      <c r="C62" s="215"/>
      <c r="D62" s="215">
        <v>9</v>
      </c>
      <c r="E62" s="1039">
        <f t="shared" si="0"/>
      </c>
      <c r="F62" s="1050"/>
      <c r="G62" s="1050"/>
      <c r="H62" s="1051"/>
      <c r="I62" s="1052">
        <f t="shared" si="1"/>
      </c>
      <c r="J62" s="1053"/>
      <c r="K62" s="1054"/>
      <c r="L62" s="1039">
        <f t="shared" si="2"/>
      </c>
      <c r="M62" s="1055"/>
      <c r="N62" s="1056"/>
      <c r="O62" s="215"/>
      <c r="P62" s="215"/>
      <c r="Q62" s="318"/>
      <c r="R62" s="318"/>
      <c r="S62" s="318"/>
      <c r="T62" s="318"/>
      <c r="U62" s="318"/>
      <c r="V62" s="318"/>
      <c r="W62" s="318"/>
      <c r="X62" s="318"/>
      <c r="Y62" s="318"/>
      <c r="Z62" s="318"/>
      <c r="AA62" s="318"/>
      <c r="AB62" s="422"/>
      <c r="AC62" s="422"/>
      <c r="AD62" s="422"/>
      <c r="AE62" s="422"/>
      <c r="AF62" s="422"/>
      <c r="AG62" s="422"/>
      <c r="AH62" s="422"/>
      <c r="AI62" s="422"/>
      <c r="AJ62" s="422"/>
      <c r="AK62" s="422"/>
      <c r="AL62" s="422"/>
      <c r="AM62" s="422"/>
      <c r="AN62" s="422"/>
      <c r="AO62" s="422"/>
      <c r="AP62" s="422"/>
      <c r="AQ62" s="422"/>
    </row>
    <row r="63" spans="1:43" s="527" customFormat="1" ht="12.75">
      <c r="A63" s="318"/>
      <c r="B63" s="215"/>
      <c r="C63" s="215"/>
      <c r="D63" s="215">
        <v>10</v>
      </c>
      <c r="E63" s="1039">
        <f t="shared" si="0"/>
      </c>
      <c r="F63" s="1050"/>
      <c r="G63" s="1050"/>
      <c r="H63" s="1051"/>
      <c r="I63" s="1052">
        <f t="shared" si="1"/>
      </c>
      <c r="J63" s="1053"/>
      <c r="K63" s="1054"/>
      <c r="L63" s="1039">
        <f t="shared" si="2"/>
      </c>
      <c r="M63" s="1055"/>
      <c r="N63" s="1056"/>
      <c r="O63" s="215"/>
      <c r="P63" s="215"/>
      <c r="Q63" s="318"/>
      <c r="R63" s="318"/>
      <c r="S63" s="318"/>
      <c r="T63" s="318"/>
      <c r="U63" s="318"/>
      <c r="V63" s="318"/>
      <c r="W63" s="318"/>
      <c r="X63" s="318"/>
      <c r="Y63" s="318"/>
      <c r="Z63" s="318"/>
      <c r="AA63" s="318"/>
      <c r="AB63" s="422"/>
      <c r="AC63" s="422"/>
      <c r="AD63" s="422"/>
      <c r="AE63" s="422"/>
      <c r="AF63" s="422"/>
      <c r="AG63" s="422"/>
      <c r="AH63" s="422"/>
      <c r="AI63" s="422"/>
      <c r="AJ63" s="422"/>
      <c r="AK63" s="422"/>
      <c r="AL63" s="422"/>
      <c r="AM63" s="422"/>
      <c r="AN63" s="422"/>
      <c r="AO63" s="422"/>
      <c r="AP63" s="422"/>
      <c r="AQ63" s="422"/>
    </row>
    <row r="64" spans="1:43" s="527" customFormat="1" ht="25.5" customHeight="1">
      <c r="A64" s="318"/>
      <c r="B64" s="215"/>
      <c r="C64" s="215"/>
      <c r="D64" s="215"/>
      <c r="E64" s="215"/>
      <c r="F64" s="215"/>
      <c r="G64" s="215"/>
      <c r="H64" s="215"/>
      <c r="I64" s="215"/>
      <c r="J64" s="215"/>
      <c r="K64" s="215"/>
      <c r="L64" s="215"/>
      <c r="M64" s="215"/>
      <c r="N64" s="215"/>
      <c r="O64" s="215"/>
      <c r="P64" s="215"/>
      <c r="Q64" s="318"/>
      <c r="R64" s="318"/>
      <c r="S64" s="318"/>
      <c r="T64" s="318"/>
      <c r="U64" s="318"/>
      <c r="V64" s="318"/>
      <c r="W64" s="318"/>
      <c r="X64" s="318"/>
      <c r="Y64" s="318"/>
      <c r="Z64" s="318"/>
      <c r="AA64" s="318"/>
      <c r="AB64" s="422"/>
      <c r="AC64" s="422"/>
      <c r="AD64" s="422"/>
      <c r="AE64" s="422"/>
      <c r="AF64" s="422"/>
      <c r="AG64" s="422"/>
      <c r="AH64" s="422"/>
      <c r="AI64" s="422"/>
      <c r="AJ64" s="422"/>
      <c r="AK64" s="422"/>
      <c r="AL64" s="422"/>
      <c r="AM64" s="422"/>
      <c r="AN64" s="422"/>
      <c r="AO64" s="422"/>
      <c r="AP64" s="422"/>
      <c r="AQ64" s="422"/>
    </row>
    <row r="65" spans="1:43" s="524" customFormat="1" ht="18" customHeight="1">
      <c r="A65" s="207"/>
      <c r="B65" s="208"/>
      <c r="C65" s="315" t="s">
        <v>131</v>
      </c>
      <c r="D65" s="1041" t="str">
        <f>Translations!$B$1570</f>
        <v>Nuova assegnazione</v>
      </c>
      <c r="E65" s="1041"/>
      <c r="F65" s="1041"/>
      <c r="G65" s="1041"/>
      <c r="H65" s="1041"/>
      <c r="I65" s="1041"/>
      <c r="J65" s="1041"/>
      <c r="K65" s="1041"/>
      <c r="L65" s="1041"/>
      <c r="M65" s="1041"/>
      <c r="N65" s="1041"/>
      <c r="O65" s="209"/>
      <c r="P65" s="209"/>
      <c r="Q65" s="492"/>
      <c r="R65" s="444"/>
      <c r="S65" s="444"/>
      <c r="T65" s="444"/>
      <c r="U65" s="444"/>
      <c r="V65" s="444"/>
      <c r="W65" s="444"/>
      <c r="X65" s="444"/>
      <c r="Y65" s="444"/>
      <c r="Z65" s="444"/>
      <c r="AA65" s="444"/>
      <c r="AB65" s="422"/>
      <c r="AC65" s="422"/>
      <c r="AD65" s="422"/>
      <c r="AE65" s="422"/>
      <c r="AF65" s="422"/>
      <c r="AG65" s="422"/>
      <c r="AH65" s="422"/>
      <c r="AI65" s="422"/>
      <c r="AJ65" s="422"/>
      <c r="AK65" s="422"/>
      <c r="AL65" s="422"/>
      <c r="AM65" s="422"/>
      <c r="AN65" s="422"/>
      <c r="AO65" s="422"/>
      <c r="AP65" s="422"/>
      <c r="AQ65" s="422"/>
    </row>
    <row r="66" spans="1:43" s="521" customFormat="1" ht="12.75" customHeight="1">
      <c r="A66" s="4"/>
      <c r="B66" s="5"/>
      <c r="C66" s="5"/>
      <c r="D66" s="5"/>
      <c r="E66" s="5"/>
      <c r="F66" s="5"/>
      <c r="G66" s="5"/>
      <c r="H66" s="5"/>
      <c r="I66" s="5"/>
      <c r="J66" s="5"/>
      <c r="K66" s="5"/>
      <c r="L66" s="5"/>
      <c r="M66" s="9"/>
      <c r="N66" s="9"/>
      <c r="O66" s="9"/>
      <c r="P66" s="9"/>
      <c r="Q66" s="440"/>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row>
    <row r="67" spans="1:43" s="521" customFormat="1" ht="25.5" customHeight="1">
      <c r="A67" s="4"/>
      <c r="B67" s="5"/>
      <c r="C67" s="5"/>
      <c r="D67" s="787" t="str">
        <f>Translations!B1590</f>
        <v>Il documento di orientamento 10 "Allocation for Mergers and Splits" (Assegnazioni per le operazioni di fusione e di scissione) al capitolo 1 riporta "Una fusione o una scissione non comportano l’assegnazione di un numero maggiore di quote rispetto alle assegnazioni riportate nella tabella nazionale di assegnazione (NAT) prima della fusione o della scissione".</v>
      </c>
      <c r="E67" s="787"/>
      <c r="F67" s="787"/>
      <c r="G67" s="787"/>
      <c r="H67" s="787"/>
      <c r="I67" s="787"/>
      <c r="J67" s="787"/>
      <c r="K67" s="787"/>
      <c r="L67" s="787"/>
      <c r="M67" s="787"/>
      <c r="N67" s="787"/>
      <c r="O67" s="9"/>
      <c r="P67" s="9"/>
      <c r="Q67" s="440"/>
      <c r="R67" s="422"/>
      <c r="S67" s="422"/>
      <c r="T67" s="422"/>
      <c r="U67" s="422"/>
      <c r="V67" s="422"/>
      <c r="W67" s="422"/>
      <c r="X67" s="422"/>
      <c r="Y67" s="424">
        <v>2013</v>
      </c>
      <c r="Z67" s="424">
        <v>2014</v>
      </c>
      <c r="AA67" s="424">
        <v>2015</v>
      </c>
      <c r="AB67" s="424">
        <v>2016</v>
      </c>
      <c r="AC67" s="424">
        <v>2017</v>
      </c>
      <c r="AD67" s="424">
        <v>2018</v>
      </c>
      <c r="AE67" s="424">
        <v>2019</v>
      </c>
      <c r="AF67" s="424">
        <v>2020</v>
      </c>
      <c r="AG67" s="422"/>
      <c r="AH67" s="422"/>
      <c r="AI67" s="422"/>
      <c r="AJ67" s="422"/>
      <c r="AK67" s="422"/>
      <c r="AL67" s="422"/>
      <c r="AM67" s="422"/>
      <c r="AN67" s="422"/>
      <c r="AO67" s="422"/>
      <c r="AP67" s="422"/>
      <c r="AQ67" s="422"/>
    </row>
    <row r="68" spans="1:43" s="521" customFormat="1" ht="25.5" customHeight="1">
      <c r="A68" s="4"/>
      <c r="B68" s="5"/>
      <c r="C68" s="5"/>
      <c r="D68" s="787" t="str">
        <f>Translations!B1591</f>
        <v>A causa dell’arrotondamento applicato e in funzione delle quote iscritte nella scheda C, è possibile che la somma degli importi calcolati nelle sezioni III.1 e III.2 superi l’assegnazione prima della fusione o della scissione. In tal caso, comparirà un messaggio di errore nel riquadro nel riquadro in appresso.</v>
      </c>
      <c r="E68" s="787"/>
      <c r="F68" s="787"/>
      <c r="G68" s="787"/>
      <c r="H68" s="787"/>
      <c r="I68" s="787"/>
      <c r="J68" s="787"/>
      <c r="K68" s="787"/>
      <c r="L68" s="787"/>
      <c r="M68" s="787"/>
      <c r="N68" s="787"/>
      <c r="O68" s="9"/>
      <c r="P68" s="9"/>
      <c r="Q68" s="440"/>
      <c r="R68" s="422"/>
      <c r="S68" s="422"/>
      <c r="T68" s="422"/>
      <c r="U68" s="422"/>
      <c r="V68" s="422"/>
      <c r="W68" s="422"/>
      <c r="X68" s="422"/>
      <c r="Y68" s="579">
        <f aca="true" t="shared" si="3" ref="Y68:AF68">IF(Y67&lt;=CNTR_YearMergerSplit,"",SUM(G$94,G$140))</f>
        <v>0</v>
      </c>
      <c r="Z68" s="579">
        <f t="shared" si="3"/>
        <v>0</v>
      </c>
      <c r="AA68" s="579">
        <f t="shared" si="3"/>
        <v>0</v>
      </c>
      <c r="AB68" s="579">
        <f t="shared" si="3"/>
        <v>0</v>
      </c>
      <c r="AC68" s="579">
        <f t="shared" si="3"/>
        <v>0</v>
      </c>
      <c r="AD68" s="579">
        <f t="shared" si="3"/>
        <v>0</v>
      </c>
      <c r="AE68" s="579">
        <f t="shared" si="3"/>
        <v>0</v>
      </c>
      <c r="AF68" s="579">
        <f t="shared" si="3"/>
        <v>0</v>
      </c>
      <c r="AG68" s="422"/>
      <c r="AH68" s="422"/>
      <c r="AI68" s="422"/>
      <c r="AJ68" s="422"/>
      <c r="AK68" s="422"/>
      <c r="AL68" s="422"/>
      <c r="AM68" s="422"/>
      <c r="AN68" s="422"/>
      <c r="AO68" s="422"/>
      <c r="AP68" s="422"/>
      <c r="AQ68" s="422"/>
    </row>
    <row r="69" spans="1:43" s="521" customFormat="1" ht="12.75" customHeight="1">
      <c r="A69" s="4"/>
      <c r="B69" s="5"/>
      <c r="C69" s="5"/>
      <c r="D69" s="813" t="str">
        <f>Translations!B1592</f>
        <v>Se qui di seguito compare un messaggio di errore, si prega di correggere le quote inserite nel foglio C per evitare che si verifichi l’errore di arrotondamento.</v>
      </c>
      <c r="E69" s="813"/>
      <c r="F69" s="813"/>
      <c r="G69" s="813"/>
      <c r="H69" s="813"/>
      <c r="I69" s="813"/>
      <c r="J69" s="813"/>
      <c r="K69" s="813"/>
      <c r="L69" s="813"/>
      <c r="M69" s="813"/>
      <c r="N69" s="813"/>
      <c r="O69" s="9"/>
      <c r="P69" s="9"/>
      <c r="Q69" s="440"/>
      <c r="R69" s="422"/>
      <c r="S69" s="422"/>
      <c r="T69" s="422"/>
      <c r="U69" s="422"/>
      <c r="V69" s="422"/>
      <c r="W69" s="449" t="s">
        <v>562</v>
      </c>
      <c r="X69" s="422"/>
      <c r="Y69" s="579">
        <f>SUM(B_InitialSituation!G$35,B_InitialSituation!G$107)</f>
        <v>0</v>
      </c>
      <c r="Z69" s="579">
        <f>SUM(B_InitialSituation!H$35,B_InitialSituation!H$107)</f>
        <v>0</v>
      </c>
      <c r="AA69" s="579">
        <f>SUM(B_InitialSituation!I$35,B_InitialSituation!I$107)</f>
        <v>0</v>
      </c>
      <c r="AB69" s="579">
        <f>SUM(B_InitialSituation!J$35,B_InitialSituation!J$107)</f>
        <v>0</v>
      </c>
      <c r="AC69" s="579">
        <f>SUM(B_InitialSituation!K$35,B_InitialSituation!K$107)</f>
        <v>0</v>
      </c>
      <c r="AD69" s="579">
        <f>SUM(B_InitialSituation!L$35,B_InitialSituation!L$107)</f>
        <v>0</v>
      </c>
      <c r="AE69" s="579">
        <f>SUM(B_InitialSituation!M$35,B_InitialSituation!M$107)</f>
        <v>0</v>
      </c>
      <c r="AF69" s="579">
        <f>SUM(B_InitialSituation!N$35,B_InitialSituation!N$107)</f>
        <v>0</v>
      </c>
      <c r="AG69" s="422"/>
      <c r="AH69" s="422"/>
      <c r="AI69" s="422"/>
      <c r="AJ69" s="422"/>
      <c r="AK69" s="422"/>
      <c r="AL69" s="422"/>
      <c r="AM69" s="422"/>
      <c r="AN69" s="422"/>
      <c r="AO69" s="422"/>
      <c r="AP69" s="422"/>
      <c r="AQ69" s="422"/>
    </row>
    <row r="70" spans="1:43" s="521" customFormat="1" ht="12.75" customHeight="1">
      <c r="A70" s="4"/>
      <c r="B70" s="5"/>
      <c r="C70" s="5"/>
      <c r="D70" s="998">
        <f>IF(W70,EUconst_ERR_Rounding,"")</f>
      </c>
      <c r="E70" s="998"/>
      <c r="F70" s="998"/>
      <c r="G70" s="998"/>
      <c r="H70" s="998"/>
      <c r="I70" s="998"/>
      <c r="J70" s="998"/>
      <c r="K70" s="998"/>
      <c r="L70" s="998"/>
      <c r="M70" s="998"/>
      <c r="N70" s="998"/>
      <c r="O70" s="9"/>
      <c r="P70" s="9"/>
      <c r="Q70" s="440"/>
      <c r="R70" s="422"/>
      <c r="S70" s="422"/>
      <c r="T70" s="422"/>
      <c r="U70" s="422"/>
      <c r="V70" s="422"/>
      <c r="W70" s="447" t="b">
        <f>OR(Y70:AF70)</f>
        <v>0</v>
      </c>
      <c r="X70" s="580" t="s">
        <v>563</v>
      </c>
      <c r="Y70" s="673" t="b">
        <f>IF(Y68="","",(ROUND(Y68,0)-ROUND(Y69,0))&gt;0)</f>
        <v>0</v>
      </c>
      <c r="Z70" s="673" t="b">
        <f aca="true" t="shared" si="4" ref="Z70:AF70">IF(Z68="","",(ROUND(Z68,0)-ROUND(Z69,0))&gt;0)</f>
        <v>0</v>
      </c>
      <c r="AA70" s="673" t="b">
        <f t="shared" si="4"/>
        <v>0</v>
      </c>
      <c r="AB70" s="673" t="b">
        <f t="shared" si="4"/>
        <v>0</v>
      </c>
      <c r="AC70" s="673" t="b">
        <f t="shared" si="4"/>
        <v>0</v>
      </c>
      <c r="AD70" s="673" t="b">
        <f t="shared" si="4"/>
        <v>0</v>
      </c>
      <c r="AE70" s="673" t="b">
        <f t="shared" si="4"/>
        <v>0</v>
      </c>
      <c r="AF70" s="673" t="b">
        <f t="shared" si="4"/>
        <v>0</v>
      </c>
      <c r="AG70" s="422"/>
      <c r="AH70" s="422"/>
      <c r="AI70" s="422"/>
      <c r="AJ70" s="422"/>
      <c r="AK70" s="422"/>
      <c r="AL70" s="422"/>
      <c r="AM70" s="422"/>
      <c r="AN70" s="422"/>
      <c r="AO70" s="422"/>
      <c r="AP70" s="422"/>
      <c r="AQ70" s="422"/>
    </row>
    <row r="71" spans="1:43" s="521" customFormat="1" ht="12.75" customHeight="1" thickBot="1">
      <c r="A71" s="4"/>
      <c r="B71" s="5"/>
      <c r="C71" s="5"/>
      <c r="D71" s="243"/>
      <c r="E71" s="243"/>
      <c r="F71" s="243"/>
      <c r="G71" s="243"/>
      <c r="H71" s="243"/>
      <c r="I71" s="243"/>
      <c r="J71" s="243"/>
      <c r="K71" s="243"/>
      <c r="L71" s="243"/>
      <c r="M71" s="243"/>
      <c r="N71" s="243"/>
      <c r="O71" s="9"/>
      <c r="P71" s="9"/>
      <c r="Q71" s="440"/>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row>
    <row r="72" spans="1:43" s="524" customFormat="1" ht="15" customHeight="1" thickBot="1">
      <c r="A72" s="207"/>
      <c r="B72" s="208"/>
      <c r="C72" s="336">
        <v>1</v>
      </c>
      <c r="D72" s="945" t="str">
        <f>Translations!$B$1006</f>
        <v>Numero finale indicativo previsto di quote di emissioni assegnate a titolo gratuito:</v>
      </c>
      <c r="E72" s="945"/>
      <c r="F72" s="945"/>
      <c r="G72" s="945"/>
      <c r="H72" s="945"/>
      <c r="I72" s="945"/>
      <c r="J72" s="945"/>
      <c r="K72" s="946"/>
      <c r="L72" s="977">
        <f>CHOOSE(C72,$J$20,$J$24)</f>
      </c>
      <c r="M72" s="978"/>
      <c r="N72" s="979"/>
      <c r="O72" s="209"/>
      <c r="P72" s="209"/>
      <c r="Q72" s="492"/>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row>
    <row r="73" spans="1:43" s="521" customFormat="1" ht="12.75" customHeight="1">
      <c r="A73" s="4"/>
      <c r="B73" s="5"/>
      <c r="C73" s="5"/>
      <c r="D73" s="787" t="str">
        <f>Translations!$B$1583</f>
        <v>I quantitativi riportati qui riflettono il calcolo del quantitativo totale finale di quote assegnate a titolo gratuito all'impianto che presenta la domanda.</v>
      </c>
      <c r="E73" s="787"/>
      <c r="F73" s="787"/>
      <c r="G73" s="787"/>
      <c r="H73" s="787"/>
      <c r="I73" s="787"/>
      <c r="J73" s="787"/>
      <c r="K73" s="787"/>
      <c r="L73" s="787"/>
      <c r="M73" s="787"/>
      <c r="N73" s="787"/>
      <c r="O73" s="9"/>
      <c r="P73" s="9"/>
      <c r="Q73" s="440"/>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row>
    <row r="74" spans="1:43" s="521" customFormat="1" ht="4.5" customHeight="1">
      <c r="A74" s="4"/>
      <c r="B74" s="5"/>
      <c r="C74" s="5"/>
      <c r="D74" s="5"/>
      <c r="E74" s="5"/>
      <c r="F74" s="5"/>
      <c r="G74" s="5"/>
      <c r="H74" s="5"/>
      <c r="I74" s="5"/>
      <c r="J74" s="5"/>
      <c r="K74" s="5"/>
      <c r="L74" s="5"/>
      <c r="M74" s="9"/>
      <c r="N74" s="9"/>
      <c r="O74" s="9"/>
      <c r="P74" s="9"/>
      <c r="Q74" s="440"/>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row>
    <row r="75" spans="1:43" s="521" customFormat="1" ht="12.75" customHeight="1" thickBot="1">
      <c r="A75" s="4"/>
      <c r="B75" s="5"/>
      <c r="C75" s="20"/>
      <c r="D75" s="791" t="str">
        <f>Translations!$B$440</f>
        <v>Sottoimpianto</v>
      </c>
      <c r="E75" s="867"/>
      <c r="F75" s="963"/>
      <c r="G75" s="211">
        <v>2013</v>
      </c>
      <c r="H75" s="211">
        <v>2014</v>
      </c>
      <c r="I75" s="211">
        <v>2015</v>
      </c>
      <c r="J75" s="211">
        <v>2016</v>
      </c>
      <c r="K75" s="211">
        <v>2017</v>
      </c>
      <c r="L75" s="211">
        <v>2018</v>
      </c>
      <c r="M75" s="211">
        <v>2019</v>
      </c>
      <c r="N75" s="211">
        <v>2020</v>
      </c>
      <c r="O75" s="322"/>
      <c r="P75" s="320"/>
      <c r="Q75" s="440"/>
      <c r="R75" s="422"/>
      <c r="S75" s="422"/>
      <c r="T75" s="448" t="s">
        <v>497</v>
      </c>
      <c r="U75" s="422"/>
      <c r="V75" s="448" t="s">
        <v>545</v>
      </c>
      <c r="W75" s="422"/>
      <c r="X75" s="423">
        <v>1</v>
      </c>
      <c r="Y75" s="424">
        <v>2013</v>
      </c>
      <c r="Z75" s="424">
        <v>2014</v>
      </c>
      <c r="AA75" s="424">
        <v>2015</v>
      </c>
      <c r="AB75" s="424">
        <v>2016</v>
      </c>
      <c r="AC75" s="424">
        <v>2017</v>
      </c>
      <c r="AD75" s="424">
        <v>2018</v>
      </c>
      <c r="AE75" s="424">
        <v>2019</v>
      </c>
      <c r="AF75" s="424">
        <v>2020</v>
      </c>
      <c r="AG75" s="422"/>
      <c r="AH75" s="423">
        <v>2</v>
      </c>
      <c r="AI75" s="424">
        <v>2013</v>
      </c>
      <c r="AJ75" s="424">
        <v>2014</v>
      </c>
      <c r="AK75" s="424">
        <v>2015</v>
      </c>
      <c r="AL75" s="424">
        <v>2016</v>
      </c>
      <c r="AM75" s="424">
        <v>2017</v>
      </c>
      <c r="AN75" s="424">
        <v>2018</v>
      </c>
      <c r="AO75" s="424">
        <v>2019</v>
      </c>
      <c r="AP75" s="424">
        <v>2020</v>
      </c>
      <c r="AQ75" s="422"/>
    </row>
    <row r="76" spans="1:43" s="521" customFormat="1" ht="12.75" customHeight="1" thickBot="1">
      <c r="A76" s="4"/>
      <c r="B76" s="5"/>
      <c r="C76" s="210">
        <v>0</v>
      </c>
      <c r="D76" s="939" t="str">
        <f>Translations!$B$1447</f>
        <v>Fase prima dell'avvio</v>
      </c>
      <c r="E76" s="940"/>
      <c r="F76" s="941"/>
      <c r="G76" s="390">
        <f>IF(SUM(IF(ISERROR(Y76),0,Y76),IF(ISERROR(AI76),0,AI76))=0,"",ROUND(SUM(IF(ISERROR(Y76),0,Y76),IF(ISERROR(AI76),0,AI76)),0))</f>
      </c>
      <c r="H76" s="390">
        <f aca="true" t="shared" si="5" ref="H76:H93">IF(SUM(IF(ISERROR(Z76),0,Z76),IF(ISERROR(AJ76),0,AJ76))=0,"",ROUND(SUM(IF(ISERROR(Z76),0,Z76),IF(ISERROR(AJ76),0,AJ76)),0))</f>
      </c>
      <c r="I76" s="390">
        <f aca="true" t="shared" si="6" ref="I76:I93">IF(SUM(IF(ISERROR(AA76),0,AA76),IF(ISERROR(AK76),0,AK76))=0,"",ROUND(SUM(IF(ISERROR(AA76),0,AA76),IF(ISERROR(AK76),0,AK76)),0))</f>
      </c>
      <c r="J76" s="390">
        <f aca="true" t="shared" si="7" ref="J76:J93">IF(SUM(IF(ISERROR(AB76),0,AB76),IF(ISERROR(AL76),0,AL76))=0,"",ROUND(SUM(IF(ISERROR(AB76),0,AB76),IF(ISERROR(AL76),0,AL76)),0))</f>
      </c>
      <c r="K76" s="390">
        <f aca="true" t="shared" si="8" ref="K76:K93">IF(SUM(IF(ISERROR(AC76),0,AC76),IF(ISERROR(AM76),0,AM76))=0,"",ROUND(SUM(IF(ISERROR(AC76),0,AC76),IF(ISERROR(AM76),0,AM76)),0))</f>
      </c>
      <c r="L76" s="390">
        <f aca="true" t="shared" si="9" ref="L76:L93">IF(SUM(IF(ISERROR(AD76),0,AD76),IF(ISERROR(AN76),0,AN76))=0,"",ROUND(SUM(IF(ISERROR(AD76),0,AD76),IF(ISERROR(AN76),0,AN76)),0))</f>
      </c>
      <c r="M76" s="390">
        <f aca="true" t="shared" si="10" ref="M76:M93">IF(SUM(IF(ISERROR(AE76),0,AE76),IF(ISERROR(AO76),0,AO76))=0,"",ROUND(SUM(IF(ISERROR(AE76),0,AE76),IF(ISERROR(AO76),0,AO76)),0))</f>
      </c>
      <c r="N76" s="390">
        <f aca="true" t="shared" si="11" ref="N76:N93">IF(SUM(IF(ISERROR(AF76),0,AF76),IF(ISERROR(AP76),0,AP76))=0,"",ROUND(SUM(IF(ISERROR(AF76),0,AF76),IF(ISERROR(AP76),0,AP76)),0))</f>
      </c>
      <c r="O76" s="377"/>
      <c r="P76" s="320"/>
      <c r="Q76" s="450" t="str">
        <f aca="true" t="shared" si="12" ref="Q76:Q93">EUconst_CNTR_Finitial&amp;1&amp;"_"&amp;$D76</f>
        <v>FInitial_1_Fase prima dell'avvio</v>
      </c>
      <c r="R76" s="450" t="str">
        <f aca="true" t="shared" si="13" ref="R76:R93">EUconst_CNTR_Finitial&amp;2&amp;"_"&amp;$D76</f>
        <v>FInitial_2_Fase prima dell'avvio</v>
      </c>
      <c r="S76" s="422"/>
      <c r="T76" s="448"/>
      <c r="U76" s="422"/>
      <c r="V76" s="451">
        <f>C72</f>
        <v>1</v>
      </c>
      <c r="W76" s="422"/>
      <c r="X76" s="425">
        <f>INDEX(CHOOSE($V76,C_MergerSplitTransfer!$H$9:$H$68,C_MergerSplitTransfer!$K$9:$K$68),MATCH(Q76,C_MergerSplitTransfer!$T$9:$T$68,0))</f>
        <v>0</v>
      </c>
      <c r="Y76" s="426">
        <f>IF(Y$75&lt;=CNTR_YearMergerSplit,"",INDEX(B_InitialSituation!G$9:G$153,MATCH($Q76,B_InitialSituation!$Q$9:$Q$153,0))*$X76)</f>
        <v>0</v>
      </c>
      <c r="Z76" s="426">
        <f>IF(Z$75&lt;=CNTR_YearMergerSplit,"",INDEX(B_InitialSituation!H$9:H$153,MATCH($Q76,B_InitialSituation!$Q$9:$Q$153,0))*$X76)</f>
        <v>0</v>
      </c>
      <c r="AA76" s="426">
        <f>IF(AA$75&lt;=CNTR_YearMergerSplit,"",INDEX(B_InitialSituation!I$9:I$153,MATCH($Q76,B_InitialSituation!$Q$9:$Q$153,0))*$X76)</f>
        <v>0</v>
      </c>
      <c r="AB76" s="426">
        <f>IF(AB$75&lt;=CNTR_YearMergerSplit,"",INDEX(B_InitialSituation!J$9:J$153,MATCH($Q76,B_InitialSituation!$Q$9:$Q$153,0))*$X76)</f>
        <v>0</v>
      </c>
      <c r="AC76" s="426">
        <f>IF(AC$75&lt;=CNTR_YearMergerSplit,"",INDEX(B_InitialSituation!K$9:K$153,MATCH($Q76,B_InitialSituation!$Q$9:$Q$153,0))*$X76)</f>
        <v>0</v>
      </c>
      <c r="AD76" s="426">
        <f>IF(AD$75&lt;=CNTR_YearMergerSplit,"",INDEX(B_InitialSituation!L$9:L$153,MATCH($Q76,B_InitialSituation!$Q$9:$Q$153,0))*$X76)</f>
        <v>0</v>
      </c>
      <c r="AE76" s="426">
        <f>IF(AE$75&lt;=CNTR_YearMergerSplit,"",INDEX(B_InitialSituation!M$9:M$153,MATCH($Q76,B_InitialSituation!$Q$9:$Q$153,0))*$X76)</f>
        <v>0</v>
      </c>
      <c r="AF76" s="426">
        <f>IF(AF$75&lt;=CNTR_YearMergerSplit,"",INDEX(B_InitialSituation!N$9:N$153,MATCH($Q76,B_InitialSituation!$Q$9:$Q$153,0))*$X76)</f>
        <v>0</v>
      </c>
      <c r="AG76" s="422"/>
      <c r="AH76" s="425">
        <f>INDEX(CHOOSE($V76,C_MergerSplitTransfer!$H$9:$H$68,C_MergerSplitTransfer!$K$9:$K$68),MATCH(R76,C_MergerSplitTransfer!$T$9:$T$68,0))</f>
        <v>0</v>
      </c>
      <c r="AI76" s="426">
        <f>IF(AI$75&lt;=CNTR_YearMergerSplit,"",INDEX(B_InitialSituation!G$9:G$153,MATCH($R76,B_InitialSituation!$Q$9:$Q$153,0))*$AH76)</f>
        <v>0</v>
      </c>
      <c r="AJ76" s="426">
        <f>IF(AJ$75&lt;=CNTR_YearMergerSplit,"",INDEX(B_InitialSituation!H$9:H$153,MATCH($R76,B_InitialSituation!$Q$9:$Q$153,0))*$AH76)</f>
        <v>0</v>
      </c>
      <c r="AK76" s="426">
        <f>IF(AK$75&lt;=CNTR_YearMergerSplit,"",INDEX(B_InitialSituation!I$9:I$153,MATCH($R76,B_InitialSituation!$Q$9:$Q$153,0))*$AH76)</f>
        <v>0</v>
      </c>
      <c r="AL76" s="426">
        <f>IF(AL$75&lt;=CNTR_YearMergerSplit,"",INDEX(B_InitialSituation!J$9:J$153,MATCH($R76,B_InitialSituation!$Q$9:$Q$153,0))*$AH76)</f>
        <v>0</v>
      </c>
      <c r="AM76" s="426">
        <f>IF(AM$75&lt;=CNTR_YearMergerSplit,"",INDEX(B_InitialSituation!K$9:K$153,MATCH($R76,B_InitialSituation!$Q$9:$Q$153,0))*$AH76)</f>
        <v>0</v>
      </c>
      <c r="AN76" s="426">
        <f>IF(AN$75&lt;=CNTR_YearMergerSplit,"",INDEX(B_InitialSituation!L$9:L$153,MATCH($R76,B_InitialSituation!$Q$9:$Q$153,0))*$AH76)</f>
        <v>0</v>
      </c>
      <c r="AO76" s="426">
        <f>IF(AO$75&lt;=CNTR_YearMergerSplit,"",INDEX(B_InitialSituation!M$9:M$153,MATCH($R76,B_InitialSituation!$Q$9:$Q$153,0))*$AH76)</f>
        <v>0</v>
      </c>
      <c r="AP76" s="426">
        <f>IF(AP$75&lt;=CNTR_YearMergerSplit,"",INDEX(B_InitialSituation!N$9:N$153,MATCH($R76,B_InitialSituation!$Q$9:$Q$153,0))*$AH76)</f>
        <v>0</v>
      </c>
      <c r="AQ76" s="422"/>
    </row>
    <row r="77" spans="1:43" s="521" customFormat="1" ht="12.75" customHeight="1">
      <c r="A77" s="4"/>
      <c r="B77" s="5"/>
      <c r="C77" s="29">
        <v>1</v>
      </c>
      <c r="D77" s="930">
        <f aca="true" t="shared" si="14" ref="D77:D86">IF(T77="","",T77)</f>
      </c>
      <c r="E77" s="931"/>
      <c r="F77" s="932"/>
      <c r="G77" s="391">
        <f aca="true" t="shared" si="15" ref="G77:G93">IF(SUM(IF(ISERROR(Y77),0,Y77),IF(ISERROR(AI77),0,AI77))=0,"",ROUND(SUM(IF(ISERROR(Y77),0,Y77),IF(ISERROR(AI77),0,AI77)),0))</f>
      </c>
      <c r="H77" s="391">
        <f t="shared" si="5"/>
      </c>
      <c r="I77" s="391">
        <f t="shared" si="6"/>
      </c>
      <c r="J77" s="391">
        <f t="shared" si="7"/>
      </c>
      <c r="K77" s="391">
        <f t="shared" si="8"/>
      </c>
      <c r="L77" s="391">
        <f t="shared" si="9"/>
      </c>
      <c r="M77" s="391">
        <f t="shared" si="10"/>
      </c>
      <c r="N77" s="391">
        <f t="shared" si="11"/>
      </c>
      <c r="O77" s="377"/>
      <c r="P77" s="480"/>
      <c r="Q77" s="450" t="str">
        <f t="shared" si="12"/>
        <v>FInitial_1_</v>
      </c>
      <c r="R77" s="450" t="str">
        <f t="shared" si="13"/>
        <v>FInitial_2_</v>
      </c>
      <c r="S77" s="422"/>
      <c r="T77" s="451">
        <f>IF(COUNTIF(B_InitialSituation!$T$9:$T$153,$C77)=0,"",INDEX(B_InitialSituation!$D$9:$D$153,MATCH($C77,B_InitialSituation!$T$9:$T$153,0)))</f>
      </c>
      <c r="U77" s="422"/>
      <c r="V77" s="452">
        <f aca="true" t="shared" si="16" ref="V77:V93">V76</f>
        <v>1</v>
      </c>
      <c r="W77" s="422"/>
      <c r="X77" s="427">
        <f>INDEX(CHOOSE($V77,C_MergerSplitTransfer!$H$9:$H$68,C_MergerSplitTransfer!$K$9:$K$68),MATCH(Q77,C_MergerSplitTransfer!$T$9:$T$68,0))</f>
        <v>0</v>
      </c>
      <c r="Y77" s="428">
        <f>IF(Y$75&lt;=CNTR_YearMergerSplit,"",INDEX(B_InitialSituation!G$9:G$153,MATCH($Q77,B_InitialSituation!$Q$9:$Q$153,0))*$X77)</f>
        <v>0</v>
      </c>
      <c r="Z77" s="428">
        <f>IF(Z$75&lt;=CNTR_YearMergerSplit,"",INDEX(B_InitialSituation!H$9:H$153,MATCH($Q77,B_InitialSituation!$Q$9:$Q$153,0))*$X77)</f>
        <v>0</v>
      </c>
      <c r="AA77" s="428">
        <f>IF(AA$75&lt;=CNTR_YearMergerSplit,"",INDEX(B_InitialSituation!I$9:I$153,MATCH($Q77,B_InitialSituation!$Q$9:$Q$153,0))*$X77)</f>
        <v>0</v>
      </c>
      <c r="AB77" s="428">
        <f>IF(AB$75&lt;=CNTR_YearMergerSplit,"",INDEX(B_InitialSituation!J$9:J$153,MATCH($Q77,B_InitialSituation!$Q$9:$Q$153,0))*$X77)</f>
        <v>0</v>
      </c>
      <c r="AC77" s="428">
        <f>IF(AC$75&lt;=CNTR_YearMergerSplit,"",INDEX(B_InitialSituation!K$9:K$153,MATCH($Q77,B_InitialSituation!$Q$9:$Q$153,0))*$X77)</f>
        <v>0</v>
      </c>
      <c r="AD77" s="428">
        <f>IF(AD$75&lt;=CNTR_YearMergerSplit,"",INDEX(B_InitialSituation!L$9:L$153,MATCH($Q77,B_InitialSituation!$Q$9:$Q$153,0))*$X77)</f>
        <v>0</v>
      </c>
      <c r="AE77" s="428">
        <f>IF(AE$75&lt;=CNTR_YearMergerSplit,"",INDEX(B_InitialSituation!M$9:M$153,MATCH($Q77,B_InitialSituation!$Q$9:$Q$153,0))*$X77)</f>
        <v>0</v>
      </c>
      <c r="AF77" s="428">
        <f>IF(AF$75&lt;=CNTR_YearMergerSplit,"",INDEX(B_InitialSituation!N$9:N$153,MATCH($Q77,B_InitialSituation!$Q$9:$Q$153,0))*$X77)</f>
        <v>0</v>
      </c>
      <c r="AG77" s="422"/>
      <c r="AH77" s="427">
        <f>INDEX(CHOOSE($V77,C_MergerSplitTransfer!$H$9:$H$68,C_MergerSplitTransfer!$K$9:$K$68),MATCH(R77,C_MergerSplitTransfer!$T$9:$T$68,0))</f>
        <v>0</v>
      </c>
      <c r="AI77" s="428">
        <f>IF(AI$75&lt;=CNTR_YearMergerSplit,"",INDEX(B_InitialSituation!G$9:G$153,MATCH($R77,B_InitialSituation!$Q$9:$Q$153,0))*$AH77)</f>
        <v>0</v>
      </c>
      <c r="AJ77" s="428">
        <f>IF(AJ$75&lt;=CNTR_YearMergerSplit,"",INDEX(B_InitialSituation!H$9:H$153,MATCH($R77,B_InitialSituation!$Q$9:$Q$153,0))*$AH77)</f>
        <v>0</v>
      </c>
      <c r="AK77" s="428">
        <f>IF(AK$75&lt;=CNTR_YearMergerSplit,"",INDEX(B_InitialSituation!I$9:I$153,MATCH($R77,B_InitialSituation!$Q$9:$Q$153,0))*$AH77)</f>
        <v>0</v>
      </c>
      <c r="AL77" s="428">
        <f>IF(AL$75&lt;=CNTR_YearMergerSplit,"",INDEX(B_InitialSituation!J$9:J$153,MATCH($R77,B_InitialSituation!$Q$9:$Q$153,0))*$AH77)</f>
        <v>0</v>
      </c>
      <c r="AM77" s="428">
        <f>IF(AM$75&lt;=CNTR_YearMergerSplit,"",INDEX(B_InitialSituation!K$9:K$153,MATCH($R77,B_InitialSituation!$Q$9:$Q$153,0))*$AH77)</f>
        <v>0</v>
      </c>
      <c r="AN77" s="428">
        <f>IF(AN$75&lt;=CNTR_YearMergerSplit,"",INDEX(B_InitialSituation!L$9:L$153,MATCH($R77,B_InitialSituation!$Q$9:$Q$153,0))*$AH77)</f>
        <v>0</v>
      </c>
      <c r="AO77" s="428">
        <f>IF(AO$75&lt;=CNTR_YearMergerSplit,"",INDEX(B_InitialSituation!M$9:M$153,MATCH($R77,B_InitialSituation!$Q$9:$Q$153,0))*$AH77)</f>
        <v>0</v>
      </c>
      <c r="AP77" s="428">
        <f>IF(AP$75&lt;=CNTR_YearMergerSplit,"",INDEX(B_InitialSituation!N$9:N$153,MATCH($R77,B_InitialSituation!$Q$9:$Q$153,0))*$AH77)</f>
        <v>0</v>
      </c>
      <c r="AQ77" s="422"/>
    </row>
    <row r="78" spans="1:43" s="521" customFormat="1" ht="12.75" customHeight="1">
      <c r="A78" s="4"/>
      <c r="B78" s="5"/>
      <c r="C78" s="29">
        <v>2</v>
      </c>
      <c r="D78" s="933">
        <f t="shared" si="14"/>
      </c>
      <c r="E78" s="934"/>
      <c r="F78" s="935"/>
      <c r="G78" s="392">
        <f t="shared" si="15"/>
      </c>
      <c r="H78" s="392">
        <f t="shared" si="5"/>
      </c>
      <c r="I78" s="392">
        <f t="shared" si="6"/>
      </c>
      <c r="J78" s="392">
        <f t="shared" si="7"/>
      </c>
      <c r="K78" s="392">
        <f t="shared" si="8"/>
      </c>
      <c r="L78" s="392">
        <f t="shared" si="9"/>
      </c>
      <c r="M78" s="392">
        <f t="shared" si="10"/>
      </c>
      <c r="N78" s="392">
        <f t="shared" si="11"/>
      </c>
      <c r="O78" s="322"/>
      <c r="P78" s="320"/>
      <c r="Q78" s="450" t="str">
        <f t="shared" si="12"/>
        <v>FInitial_1_</v>
      </c>
      <c r="R78" s="450" t="str">
        <f t="shared" si="13"/>
        <v>FInitial_2_</v>
      </c>
      <c r="S78" s="422"/>
      <c r="T78" s="452">
        <f>IF(COUNTIF(B_InitialSituation!$T$9:$T$153,$C78)=0,"",INDEX(B_InitialSituation!$D$9:$D$153,MATCH($C78,B_InitialSituation!$T$9:$T$153,0)))</f>
      </c>
      <c r="U78" s="422"/>
      <c r="V78" s="452">
        <f t="shared" si="16"/>
        <v>1</v>
      </c>
      <c r="W78" s="422"/>
      <c r="X78" s="429">
        <f>INDEX(CHOOSE($V78,C_MergerSplitTransfer!$H$9:$H$68,C_MergerSplitTransfer!$K$9:$K$68),MATCH(Q78,C_MergerSplitTransfer!$T$9:$T$68,0))</f>
        <v>0</v>
      </c>
      <c r="Y78" s="430">
        <f>IF(Y$75&lt;=CNTR_YearMergerSplit,"",INDEX(B_InitialSituation!G$9:G$153,MATCH($Q78,B_InitialSituation!$Q$9:$Q$153,0))*$X78)</f>
        <v>0</v>
      </c>
      <c r="Z78" s="430">
        <f>IF(Z$75&lt;=CNTR_YearMergerSplit,"",INDEX(B_InitialSituation!H$9:H$153,MATCH($Q78,B_InitialSituation!$Q$9:$Q$153,0))*$X78)</f>
        <v>0</v>
      </c>
      <c r="AA78" s="430">
        <f>IF(AA$75&lt;=CNTR_YearMergerSplit,"",INDEX(B_InitialSituation!I$9:I$153,MATCH($Q78,B_InitialSituation!$Q$9:$Q$153,0))*$X78)</f>
        <v>0</v>
      </c>
      <c r="AB78" s="430">
        <f>IF(AB$75&lt;=CNTR_YearMergerSplit,"",INDEX(B_InitialSituation!J$9:J$153,MATCH($Q78,B_InitialSituation!$Q$9:$Q$153,0))*$X78)</f>
        <v>0</v>
      </c>
      <c r="AC78" s="430">
        <f>IF(AC$75&lt;=CNTR_YearMergerSplit,"",INDEX(B_InitialSituation!K$9:K$153,MATCH($Q78,B_InitialSituation!$Q$9:$Q$153,0))*$X78)</f>
        <v>0</v>
      </c>
      <c r="AD78" s="430">
        <f>IF(AD$75&lt;=CNTR_YearMergerSplit,"",INDEX(B_InitialSituation!L$9:L$153,MATCH($Q78,B_InitialSituation!$Q$9:$Q$153,0))*$X78)</f>
        <v>0</v>
      </c>
      <c r="AE78" s="430">
        <f>IF(AE$75&lt;=CNTR_YearMergerSplit,"",INDEX(B_InitialSituation!M$9:M$153,MATCH($Q78,B_InitialSituation!$Q$9:$Q$153,0))*$X78)</f>
        <v>0</v>
      </c>
      <c r="AF78" s="430">
        <f>IF(AF$75&lt;=CNTR_YearMergerSplit,"",INDEX(B_InitialSituation!N$9:N$153,MATCH($Q78,B_InitialSituation!$Q$9:$Q$153,0))*$X78)</f>
        <v>0</v>
      </c>
      <c r="AG78" s="422"/>
      <c r="AH78" s="429">
        <f>INDEX(CHOOSE($V78,C_MergerSplitTransfer!$H$9:$H$68,C_MergerSplitTransfer!$K$9:$K$68),MATCH(R78,C_MergerSplitTransfer!$T$9:$T$68,0))</f>
        <v>0</v>
      </c>
      <c r="AI78" s="430">
        <f>IF(AI$75&lt;=CNTR_YearMergerSplit,"",INDEX(B_InitialSituation!G$9:G$153,MATCH($R78,B_InitialSituation!$Q$9:$Q$153,0))*$AH78)</f>
        <v>0</v>
      </c>
      <c r="AJ78" s="430">
        <f>IF(AJ$75&lt;=CNTR_YearMergerSplit,"",INDEX(B_InitialSituation!H$9:H$153,MATCH($R78,B_InitialSituation!$Q$9:$Q$153,0))*$AH78)</f>
        <v>0</v>
      </c>
      <c r="AK78" s="430">
        <f>IF(AK$75&lt;=CNTR_YearMergerSplit,"",INDEX(B_InitialSituation!I$9:I$153,MATCH($R78,B_InitialSituation!$Q$9:$Q$153,0))*$AH78)</f>
        <v>0</v>
      </c>
      <c r="AL78" s="430">
        <f>IF(AL$75&lt;=CNTR_YearMergerSplit,"",INDEX(B_InitialSituation!J$9:J$153,MATCH($R78,B_InitialSituation!$Q$9:$Q$153,0))*$AH78)</f>
        <v>0</v>
      </c>
      <c r="AM78" s="430">
        <f>IF(AM$75&lt;=CNTR_YearMergerSplit,"",INDEX(B_InitialSituation!K$9:K$153,MATCH($R78,B_InitialSituation!$Q$9:$Q$153,0))*$AH78)</f>
        <v>0</v>
      </c>
      <c r="AN78" s="430">
        <f>IF(AN$75&lt;=CNTR_YearMergerSplit,"",INDEX(B_InitialSituation!L$9:L$153,MATCH($R78,B_InitialSituation!$Q$9:$Q$153,0))*$AH78)</f>
        <v>0</v>
      </c>
      <c r="AO78" s="430">
        <f>IF(AO$75&lt;=CNTR_YearMergerSplit,"",INDEX(B_InitialSituation!M$9:M$153,MATCH($R78,B_InitialSituation!$Q$9:$Q$153,0))*$AH78)</f>
        <v>0</v>
      </c>
      <c r="AP78" s="430">
        <f>IF(AP$75&lt;=CNTR_YearMergerSplit,"",INDEX(B_InitialSituation!N$9:N$153,MATCH($R78,B_InitialSituation!$Q$9:$Q$153,0))*$AH78)</f>
        <v>0</v>
      </c>
      <c r="AQ78" s="422"/>
    </row>
    <row r="79" spans="1:43" s="521" customFormat="1" ht="12.75" customHeight="1">
      <c r="A79" s="4"/>
      <c r="B79" s="5"/>
      <c r="C79" s="29">
        <v>3</v>
      </c>
      <c r="D79" s="933">
        <f t="shared" si="14"/>
      </c>
      <c r="E79" s="934"/>
      <c r="F79" s="935"/>
      <c r="G79" s="392">
        <f t="shared" si="15"/>
      </c>
      <c r="H79" s="392">
        <f t="shared" si="5"/>
      </c>
      <c r="I79" s="392">
        <f t="shared" si="6"/>
      </c>
      <c r="J79" s="392">
        <f t="shared" si="7"/>
      </c>
      <c r="K79" s="392">
        <f t="shared" si="8"/>
      </c>
      <c r="L79" s="392">
        <f t="shared" si="9"/>
      </c>
      <c r="M79" s="392">
        <f t="shared" si="10"/>
      </c>
      <c r="N79" s="392">
        <f t="shared" si="11"/>
      </c>
      <c r="O79" s="322"/>
      <c r="P79" s="320"/>
      <c r="Q79" s="450" t="str">
        <f t="shared" si="12"/>
        <v>FInitial_1_</v>
      </c>
      <c r="R79" s="450" t="str">
        <f t="shared" si="13"/>
        <v>FInitial_2_</v>
      </c>
      <c r="S79" s="422"/>
      <c r="T79" s="452">
        <f>IF(COUNTIF(B_InitialSituation!$T$9:$T$153,$C79)=0,"",INDEX(B_InitialSituation!$D$9:$D$153,MATCH($C79,B_InitialSituation!$T$9:$T$153,0)))</f>
      </c>
      <c r="U79" s="422"/>
      <c r="V79" s="452">
        <f t="shared" si="16"/>
        <v>1</v>
      </c>
      <c r="W79" s="422"/>
      <c r="X79" s="429">
        <f>INDEX(CHOOSE($V79,C_MergerSplitTransfer!$H$9:$H$68,C_MergerSplitTransfer!$K$9:$K$68),MATCH(Q79,C_MergerSplitTransfer!$T$9:$T$68,0))</f>
        <v>0</v>
      </c>
      <c r="Y79" s="430">
        <f>IF(Y$75&lt;=CNTR_YearMergerSplit,"",INDEX(B_InitialSituation!G$9:G$153,MATCH($Q79,B_InitialSituation!$Q$9:$Q$153,0))*$X79)</f>
        <v>0</v>
      </c>
      <c r="Z79" s="430">
        <f>IF(Z$75&lt;=CNTR_YearMergerSplit,"",INDEX(B_InitialSituation!H$9:H$153,MATCH($Q79,B_InitialSituation!$Q$9:$Q$153,0))*$X79)</f>
        <v>0</v>
      </c>
      <c r="AA79" s="430">
        <f>IF(AA$75&lt;=CNTR_YearMergerSplit,"",INDEX(B_InitialSituation!I$9:I$153,MATCH($Q79,B_InitialSituation!$Q$9:$Q$153,0))*$X79)</f>
        <v>0</v>
      </c>
      <c r="AB79" s="430">
        <f>IF(AB$75&lt;=CNTR_YearMergerSplit,"",INDEX(B_InitialSituation!J$9:J$153,MATCH($Q79,B_InitialSituation!$Q$9:$Q$153,0))*$X79)</f>
        <v>0</v>
      </c>
      <c r="AC79" s="430">
        <f>IF(AC$75&lt;=CNTR_YearMergerSplit,"",INDEX(B_InitialSituation!K$9:K$153,MATCH($Q79,B_InitialSituation!$Q$9:$Q$153,0))*$X79)</f>
        <v>0</v>
      </c>
      <c r="AD79" s="430">
        <f>IF(AD$75&lt;=CNTR_YearMergerSplit,"",INDEX(B_InitialSituation!L$9:L$153,MATCH($Q79,B_InitialSituation!$Q$9:$Q$153,0))*$X79)</f>
        <v>0</v>
      </c>
      <c r="AE79" s="430">
        <f>IF(AE$75&lt;=CNTR_YearMergerSplit,"",INDEX(B_InitialSituation!M$9:M$153,MATCH($Q79,B_InitialSituation!$Q$9:$Q$153,0))*$X79)</f>
        <v>0</v>
      </c>
      <c r="AF79" s="430">
        <f>IF(AF$75&lt;=CNTR_YearMergerSplit,"",INDEX(B_InitialSituation!N$9:N$153,MATCH($Q79,B_InitialSituation!$Q$9:$Q$153,0))*$X79)</f>
        <v>0</v>
      </c>
      <c r="AG79" s="422"/>
      <c r="AH79" s="429">
        <f>INDEX(CHOOSE($V79,C_MergerSplitTransfer!$H$9:$H$68,C_MergerSplitTransfer!$K$9:$K$68),MATCH(R79,C_MergerSplitTransfer!$T$9:$T$68,0))</f>
        <v>0</v>
      </c>
      <c r="AI79" s="430">
        <f>IF(AI$75&lt;=CNTR_YearMergerSplit,"",INDEX(B_InitialSituation!G$9:G$153,MATCH($R79,B_InitialSituation!$Q$9:$Q$153,0))*$AH79)</f>
        <v>0</v>
      </c>
      <c r="AJ79" s="430">
        <f>IF(AJ$75&lt;=CNTR_YearMergerSplit,"",INDEX(B_InitialSituation!H$9:H$153,MATCH($R79,B_InitialSituation!$Q$9:$Q$153,0))*$AH79)</f>
        <v>0</v>
      </c>
      <c r="AK79" s="430">
        <f>IF(AK$75&lt;=CNTR_YearMergerSplit,"",INDEX(B_InitialSituation!I$9:I$153,MATCH($R79,B_InitialSituation!$Q$9:$Q$153,0))*$AH79)</f>
        <v>0</v>
      </c>
      <c r="AL79" s="430">
        <f>IF(AL$75&lt;=CNTR_YearMergerSplit,"",INDEX(B_InitialSituation!J$9:J$153,MATCH($R79,B_InitialSituation!$Q$9:$Q$153,0))*$AH79)</f>
        <v>0</v>
      </c>
      <c r="AM79" s="430">
        <f>IF(AM$75&lt;=CNTR_YearMergerSplit,"",INDEX(B_InitialSituation!K$9:K$153,MATCH($R79,B_InitialSituation!$Q$9:$Q$153,0))*$AH79)</f>
        <v>0</v>
      </c>
      <c r="AN79" s="430">
        <f>IF(AN$75&lt;=CNTR_YearMergerSplit,"",INDEX(B_InitialSituation!L$9:L$153,MATCH($R79,B_InitialSituation!$Q$9:$Q$153,0))*$AH79)</f>
        <v>0</v>
      </c>
      <c r="AO79" s="430">
        <f>IF(AO$75&lt;=CNTR_YearMergerSplit,"",INDEX(B_InitialSituation!M$9:M$153,MATCH($R79,B_InitialSituation!$Q$9:$Q$153,0))*$AH79)</f>
        <v>0</v>
      </c>
      <c r="AP79" s="430">
        <f>IF(AP$75&lt;=CNTR_YearMergerSplit,"",INDEX(B_InitialSituation!N$9:N$153,MATCH($R79,B_InitialSituation!$Q$9:$Q$153,0))*$AH79)</f>
        <v>0</v>
      </c>
      <c r="AQ79" s="422"/>
    </row>
    <row r="80" spans="1:43" s="521" customFormat="1" ht="12.75" customHeight="1">
      <c r="A80" s="4"/>
      <c r="B80" s="5"/>
      <c r="C80" s="29">
        <v>4</v>
      </c>
      <c r="D80" s="933">
        <f t="shared" si="14"/>
      </c>
      <c r="E80" s="934"/>
      <c r="F80" s="935"/>
      <c r="G80" s="392">
        <f t="shared" si="15"/>
      </c>
      <c r="H80" s="392">
        <f t="shared" si="5"/>
      </c>
      <c r="I80" s="392">
        <f t="shared" si="6"/>
      </c>
      <c r="J80" s="392">
        <f t="shared" si="7"/>
      </c>
      <c r="K80" s="392">
        <f t="shared" si="8"/>
      </c>
      <c r="L80" s="392">
        <f t="shared" si="9"/>
      </c>
      <c r="M80" s="392">
        <f t="shared" si="10"/>
      </c>
      <c r="N80" s="392">
        <f t="shared" si="11"/>
      </c>
      <c r="O80" s="322"/>
      <c r="P80" s="320"/>
      <c r="Q80" s="450" t="str">
        <f t="shared" si="12"/>
        <v>FInitial_1_</v>
      </c>
      <c r="R80" s="450" t="str">
        <f t="shared" si="13"/>
        <v>FInitial_2_</v>
      </c>
      <c r="S80" s="422"/>
      <c r="T80" s="452">
        <f>IF(COUNTIF(B_InitialSituation!$T$9:$T$153,$C80)=0,"",INDEX(B_InitialSituation!$D$9:$D$153,MATCH($C80,B_InitialSituation!$T$9:$T$153,0)))</f>
      </c>
      <c r="U80" s="422"/>
      <c r="V80" s="452">
        <f t="shared" si="16"/>
        <v>1</v>
      </c>
      <c r="W80" s="422"/>
      <c r="X80" s="429">
        <f>INDEX(CHOOSE($V80,C_MergerSplitTransfer!$H$9:$H$68,C_MergerSplitTransfer!$K$9:$K$68),MATCH(Q80,C_MergerSplitTransfer!$T$9:$T$68,0))</f>
        <v>0</v>
      </c>
      <c r="Y80" s="430">
        <f>IF(Y$75&lt;=CNTR_YearMergerSplit,"",INDEX(B_InitialSituation!G$9:G$153,MATCH($Q80,B_InitialSituation!$Q$9:$Q$153,0))*$X80)</f>
        <v>0</v>
      </c>
      <c r="Z80" s="430">
        <f>IF(Z$75&lt;=CNTR_YearMergerSplit,"",INDEX(B_InitialSituation!H$9:H$153,MATCH($Q80,B_InitialSituation!$Q$9:$Q$153,0))*$X80)</f>
        <v>0</v>
      </c>
      <c r="AA80" s="430">
        <f>IF(AA$75&lt;=CNTR_YearMergerSplit,"",INDEX(B_InitialSituation!I$9:I$153,MATCH($Q80,B_InitialSituation!$Q$9:$Q$153,0))*$X80)</f>
        <v>0</v>
      </c>
      <c r="AB80" s="430">
        <f>IF(AB$75&lt;=CNTR_YearMergerSplit,"",INDEX(B_InitialSituation!J$9:J$153,MATCH($Q80,B_InitialSituation!$Q$9:$Q$153,0))*$X80)</f>
        <v>0</v>
      </c>
      <c r="AC80" s="430">
        <f>IF(AC$75&lt;=CNTR_YearMergerSplit,"",INDEX(B_InitialSituation!K$9:K$153,MATCH($Q80,B_InitialSituation!$Q$9:$Q$153,0))*$X80)</f>
        <v>0</v>
      </c>
      <c r="AD80" s="430">
        <f>IF(AD$75&lt;=CNTR_YearMergerSplit,"",INDEX(B_InitialSituation!L$9:L$153,MATCH($Q80,B_InitialSituation!$Q$9:$Q$153,0))*$X80)</f>
        <v>0</v>
      </c>
      <c r="AE80" s="430">
        <f>IF(AE$75&lt;=CNTR_YearMergerSplit,"",INDEX(B_InitialSituation!M$9:M$153,MATCH($Q80,B_InitialSituation!$Q$9:$Q$153,0))*$X80)</f>
        <v>0</v>
      </c>
      <c r="AF80" s="430">
        <f>IF(AF$75&lt;=CNTR_YearMergerSplit,"",INDEX(B_InitialSituation!N$9:N$153,MATCH($Q80,B_InitialSituation!$Q$9:$Q$153,0))*$X80)</f>
        <v>0</v>
      </c>
      <c r="AG80" s="422"/>
      <c r="AH80" s="429">
        <f>INDEX(CHOOSE($V80,C_MergerSplitTransfer!$H$9:$H$68,C_MergerSplitTransfer!$K$9:$K$68),MATCH(R80,C_MergerSplitTransfer!$T$9:$T$68,0))</f>
        <v>0</v>
      </c>
      <c r="AI80" s="430">
        <f>IF(AI$75&lt;=CNTR_YearMergerSplit,"",INDEX(B_InitialSituation!G$9:G$153,MATCH($R80,B_InitialSituation!$Q$9:$Q$153,0))*$AH80)</f>
        <v>0</v>
      </c>
      <c r="AJ80" s="430">
        <f>IF(AJ$75&lt;=CNTR_YearMergerSplit,"",INDEX(B_InitialSituation!H$9:H$153,MATCH($R80,B_InitialSituation!$Q$9:$Q$153,0))*$AH80)</f>
        <v>0</v>
      </c>
      <c r="AK80" s="430">
        <f>IF(AK$75&lt;=CNTR_YearMergerSplit,"",INDEX(B_InitialSituation!I$9:I$153,MATCH($R80,B_InitialSituation!$Q$9:$Q$153,0))*$AH80)</f>
        <v>0</v>
      </c>
      <c r="AL80" s="430">
        <f>IF(AL$75&lt;=CNTR_YearMergerSplit,"",INDEX(B_InitialSituation!J$9:J$153,MATCH($R80,B_InitialSituation!$Q$9:$Q$153,0))*$AH80)</f>
        <v>0</v>
      </c>
      <c r="AM80" s="430">
        <f>IF(AM$75&lt;=CNTR_YearMergerSplit,"",INDEX(B_InitialSituation!K$9:K$153,MATCH($R80,B_InitialSituation!$Q$9:$Q$153,0))*$AH80)</f>
        <v>0</v>
      </c>
      <c r="AN80" s="430">
        <f>IF(AN$75&lt;=CNTR_YearMergerSplit,"",INDEX(B_InitialSituation!L$9:L$153,MATCH($R80,B_InitialSituation!$Q$9:$Q$153,0))*$AH80)</f>
        <v>0</v>
      </c>
      <c r="AO80" s="430">
        <f>IF(AO$75&lt;=CNTR_YearMergerSplit,"",INDEX(B_InitialSituation!M$9:M$153,MATCH($R80,B_InitialSituation!$Q$9:$Q$153,0))*$AH80)</f>
        <v>0</v>
      </c>
      <c r="AP80" s="430">
        <f>IF(AP$75&lt;=CNTR_YearMergerSplit,"",INDEX(B_InitialSituation!N$9:N$153,MATCH($R80,B_InitialSituation!$Q$9:$Q$153,0))*$AH80)</f>
        <v>0</v>
      </c>
      <c r="AQ80" s="422"/>
    </row>
    <row r="81" spans="1:43" s="521" customFormat="1" ht="12.75" customHeight="1">
      <c r="A81" s="4"/>
      <c r="B81" s="5"/>
      <c r="C81" s="29">
        <v>5</v>
      </c>
      <c r="D81" s="933">
        <f t="shared" si="14"/>
      </c>
      <c r="E81" s="934"/>
      <c r="F81" s="935"/>
      <c r="G81" s="392">
        <f t="shared" si="15"/>
      </c>
      <c r="H81" s="392">
        <f t="shared" si="5"/>
      </c>
      <c r="I81" s="392">
        <f t="shared" si="6"/>
      </c>
      <c r="J81" s="392">
        <f t="shared" si="7"/>
      </c>
      <c r="K81" s="392">
        <f t="shared" si="8"/>
      </c>
      <c r="L81" s="392">
        <f t="shared" si="9"/>
      </c>
      <c r="M81" s="392">
        <f t="shared" si="10"/>
      </c>
      <c r="N81" s="392">
        <f t="shared" si="11"/>
      </c>
      <c r="O81" s="322"/>
      <c r="P81" s="320"/>
      <c r="Q81" s="450" t="str">
        <f t="shared" si="12"/>
        <v>FInitial_1_</v>
      </c>
      <c r="R81" s="450" t="str">
        <f t="shared" si="13"/>
        <v>FInitial_2_</v>
      </c>
      <c r="S81" s="422"/>
      <c r="T81" s="452">
        <f>IF(COUNTIF(B_InitialSituation!$T$9:$T$153,$C81)=0,"",INDEX(B_InitialSituation!$D$9:$D$153,MATCH($C81,B_InitialSituation!$T$9:$T$153,0)))</f>
      </c>
      <c r="U81" s="422"/>
      <c r="V81" s="452">
        <f t="shared" si="16"/>
        <v>1</v>
      </c>
      <c r="W81" s="422"/>
      <c r="X81" s="429">
        <f>INDEX(CHOOSE($V81,C_MergerSplitTransfer!$H$9:$H$68,C_MergerSplitTransfer!$K$9:$K$68),MATCH(Q81,C_MergerSplitTransfer!$T$9:$T$68,0))</f>
        <v>0</v>
      </c>
      <c r="Y81" s="430">
        <f>IF(Y$75&lt;=CNTR_YearMergerSplit,"",INDEX(B_InitialSituation!G$9:G$153,MATCH($Q81,B_InitialSituation!$Q$9:$Q$153,0))*$X81)</f>
        <v>0</v>
      </c>
      <c r="Z81" s="430">
        <f>IF(Z$75&lt;=CNTR_YearMergerSplit,"",INDEX(B_InitialSituation!H$9:H$153,MATCH($Q81,B_InitialSituation!$Q$9:$Q$153,0))*$X81)</f>
        <v>0</v>
      </c>
      <c r="AA81" s="430">
        <f>IF(AA$75&lt;=CNTR_YearMergerSplit,"",INDEX(B_InitialSituation!I$9:I$153,MATCH($Q81,B_InitialSituation!$Q$9:$Q$153,0))*$X81)</f>
        <v>0</v>
      </c>
      <c r="AB81" s="430">
        <f>IF(AB$75&lt;=CNTR_YearMergerSplit,"",INDEX(B_InitialSituation!J$9:J$153,MATCH($Q81,B_InitialSituation!$Q$9:$Q$153,0))*$X81)</f>
        <v>0</v>
      </c>
      <c r="AC81" s="430">
        <f>IF(AC$75&lt;=CNTR_YearMergerSplit,"",INDEX(B_InitialSituation!K$9:K$153,MATCH($Q81,B_InitialSituation!$Q$9:$Q$153,0))*$X81)</f>
        <v>0</v>
      </c>
      <c r="AD81" s="430">
        <f>IF(AD$75&lt;=CNTR_YearMergerSplit,"",INDEX(B_InitialSituation!L$9:L$153,MATCH($Q81,B_InitialSituation!$Q$9:$Q$153,0))*$X81)</f>
        <v>0</v>
      </c>
      <c r="AE81" s="430">
        <f>IF(AE$75&lt;=CNTR_YearMergerSplit,"",INDEX(B_InitialSituation!M$9:M$153,MATCH($Q81,B_InitialSituation!$Q$9:$Q$153,0))*$X81)</f>
        <v>0</v>
      </c>
      <c r="AF81" s="430">
        <f>IF(AF$75&lt;=CNTR_YearMergerSplit,"",INDEX(B_InitialSituation!N$9:N$153,MATCH($Q81,B_InitialSituation!$Q$9:$Q$153,0))*$X81)</f>
        <v>0</v>
      </c>
      <c r="AG81" s="422"/>
      <c r="AH81" s="429">
        <f>INDEX(CHOOSE($V81,C_MergerSplitTransfer!$H$9:$H$68,C_MergerSplitTransfer!$K$9:$K$68),MATCH(R81,C_MergerSplitTransfer!$T$9:$T$68,0))</f>
        <v>0</v>
      </c>
      <c r="AI81" s="430">
        <f>IF(AI$75&lt;=CNTR_YearMergerSplit,"",INDEX(B_InitialSituation!G$9:G$153,MATCH($R81,B_InitialSituation!$Q$9:$Q$153,0))*$AH81)</f>
        <v>0</v>
      </c>
      <c r="AJ81" s="430">
        <f>IF(AJ$75&lt;=CNTR_YearMergerSplit,"",INDEX(B_InitialSituation!H$9:H$153,MATCH($R81,B_InitialSituation!$Q$9:$Q$153,0))*$AH81)</f>
        <v>0</v>
      </c>
      <c r="AK81" s="430">
        <f>IF(AK$75&lt;=CNTR_YearMergerSplit,"",INDEX(B_InitialSituation!I$9:I$153,MATCH($R81,B_InitialSituation!$Q$9:$Q$153,0))*$AH81)</f>
        <v>0</v>
      </c>
      <c r="AL81" s="430">
        <f>IF(AL$75&lt;=CNTR_YearMergerSplit,"",INDEX(B_InitialSituation!J$9:J$153,MATCH($R81,B_InitialSituation!$Q$9:$Q$153,0))*$AH81)</f>
        <v>0</v>
      </c>
      <c r="AM81" s="430">
        <f>IF(AM$75&lt;=CNTR_YearMergerSplit,"",INDEX(B_InitialSituation!K$9:K$153,MATCH($R81,B_InitialSituation!$Q$9:$Q$153,0))*$AH81)</f>
        <v>0</v>
      </c>
      <c r="AN81" s="430">
        <f>IF(AN$75&lt;=CNTR_YearMergerSplit,"",INDEX(B_InitialSituation!L$9:L$153,MATCH($R81,B_InitialSituation!$Q$9:$Q$153,0))*$AH81)</f>
        <v>0</v>
      </c>
      <c r="AO81" s="430">
        <f>IF(AO$75&lt;=CNTR_YearMergerSplit,"",INDEX(B_InitialSituation!M$9:M$153,MATCH($R81,B_InitialSituation!$Q$9:$Q$153,0))*$AH81)</f>
        <v>0</v>
      </c>
      <c r="AP81" s="430">
        <f>IF(AP$75&lt;=CNTR_YearMergerSplit,"",INDEX(B_InitialSituation!N$9:N$153,MATCH($R81,B_InitialSituation!$Q$9:$Q$153,0))*$AH81)</f>
        <v>0</v>
      </c>
      <c r="AQ81" s="422"/>
    </row>
    <row r="82" spans="1:43" s="521" customFormat="1" ht="12.75" customHeight="1">
      <c r="A82" s="4"/>
      <c r="B82" s="5"/>
      <c r="C82" s="29">
        <v>6</v>
      </c>
      <c r="D82" s="933">
        <f t="shared" si="14"/>
      </c>
      <c r="E82" s="934"/>
      <c r="F82" s="935"/>
      <c r="G82" s="392">
        <f t="shared" si="15"/>
      </c>
      <c r="H82" s="392">
        <f t="shared" si="5"/>
      </c>
      <c r="I82" s="392">
        <f t="shared" si="6"/>
      </c>
      <c r="J82" s="392">
        <f t="shared" si="7"/>
      </c>
      <c r="K82" s="392">
        <f t="shared" si="8"/>
      </c>
      <c r="L82" s="392">
        <f t="shared" si="9"/>
      </c>
      <c r="M82" s="392">
        <f t="shared" si="10"/>
      </c>
      <c r="N82" s="392">
        <f t="shared" si="11"/>
      </c>
      <c r="O82" s="322"/>
      <c r="P82" s="9"/>
      <c r="Q82" s="450" t="str">
        <f t="shared" si="12"/>
        <v>FInitial_1_</v>
      </c>
      <c r="R82" s="450" t="str">
        <f t="shared" si="13"/>
        <v>FInitial_2_</v>
      </c>
      <c r="S82" s="422"/>
      <c r="T82" s="452">
        <f>IF(COUNTIF(B_InitialSituation!$T$9:$T$153,$C82)=0,"",INDEX(B_InitialSituation!$D$9:$D$153,MATCH($C82,B_InitialSituation!$T$9:$T$153,0)))</f>
      </c>
      <c r="U82" s="422"/>
      <c r="V82" s="452">
        <f t="shared" si="16"/>
        <v>1</v>
      </c>
      <c r="W82" s="422"/>
      <c r="X82" s="429">
        <f>INDEX(CHOOSE($V82,C_MergerSplitTransfer!$H$9:$H$68,C_MergerSplitTransfer!$K$9:$K$68),MATCH(Q82,C_MergerSplitTransfer!$T$9:$T$68,0))</f>
        <v>0</v>
      </c>
      <c r="Y82" s="430">
        <f>IF(Y$75&lt;=CNTR_YearMergerSplit,"",INDEX(B_InitialSituation!G$9:G$153,MATCH($Q82,B_InitialSituation!$Q$9:$Q$153,0))*$X82)</f>
        <v>0</v>
      </c>
      <c r="Z82" s="430">
        <f>IF(Z$75&lt;=CNTR_YearMergerSplit,"",INDEX(B_InitialSituation!H$9:H$153,MATCH($Q82,B_InitialSituation!$Q$9:$Q$153,0))*$X82)</f>
        <v>0</v>
      </c>
      <c r="AA82" s="430">
        <f>IF(AA$75&lt;=CNTR_YearMergerSplit,"",INDEX(B_InitialSituation!I$9:I$153,MATCH($Q82,B_InitialSituation!$Q$9:$Q$153,0))*$X82)</f>
        <v>0</v>
      </c>
      <c r="AB82" s="430">
        <f>IF(AB$75&lt;=CNTR_YearMergerSplit,"",INDEX(B_InitialSituation!J$9:J$153,MATCH($Q82,B_InitialSituation!$Q$9:$Q$153,0))*$X82)</f>
        <v>0</v>
      </c>
      <c r="AC82" s="430">
        <f>IF(AC$75&lt;=CNTR_YearMergerSplit,"",INDEX(B_InitialSituation!K$9:K$153,MATCH($Q82,B_InitialSituation!$Q$9:$Q$153,0))*$X82)</f>
        <v>0</v>
      </c>
      <c r="AD82" s="430">
        <f>IF(AD$75&lt;=CNTR_YearMergerSplit,"",INDEX(B_InitialSituation!L$9:L$153,MATCH($Q82,B_InitialSituation!$Q$9:$Q$153,0))*$X82)</f>
        <v>0</v>
      </c>
      <c r="AE82" s="430">
        <f>IF(AE$75&lt;=CNTR_YearMergerSplit,"",INDEX(B_InitialSituation!M$9:M$153,MATCH($Q82,B_InitialSituation!$Q$9:$Q$153,0))*$X82)</f>
        <v>0</v>
      </c>
      <c r="AF82" s="430">
        <f>IF(AF$75&lt;=CNTR_YearMergerSplit,"",INDEX(B_InitialSituation!N$9:N$153,MATCH($Q82,B_InitialSituation!$Q$9:$Q$153,0))*$X82)</f>
        <v>0</v>
      </c>
      <c r="AG82" s="422"/>
      <c r="AH82" s="429">
        <f>INDEX(CHOOSE($V82,C_MergerSplitTransfer!$H$9:$H$68,C_MergerSplitTransfer!$K$9:$K$68),MATCH(R82,C_MergerSplitTransfer!$T$9:$T$68,0))</f>
        <v>0</v>
      </c>
      <c r="AI82" s="430">
        <f>IF(AI$75&lt;=CNTR_YearMergerSplit,"",INDEX(B_InitialSituation!G$9:G$153,MATCH($R82,B_InitialSituation!$Q$9:$Q$153,0))*$AH82)</f>
        <v>0</v>
      </c>
      <c r="AJ82" s="430">
        <f>IF(AJ$75&lt;=CNTR_YearMergerSplit,"",INDEX(B_InitialSituation!H$9:H$153,MATCH($R82,B_InitialSituation!$Q$9:$Q$153,0))*$AH82)</f>
        <v>0</v>
      </c>
      <c r="AK82" s="430">
        <f>IF(AK$75&lt;=CNTR_YearMergerSplit,"",INDEX(B_InitialSituation!I$9:I$153,MATCH($R82,B_InitialSituation!$Q$9:$Q$153,0))*$AH82)</f>
        <v>0</v>
      </c>
      <c r="AL82" s="430">
        <f>IF(AL$75&lt;=CNTR_YearMergerSplit,"",INDEX(B_InitialSituation!J$9:J$153,MATCH($R82,B_InitialSituation!$Q$9:$Q$153,0))*$AH82)</f>
        <v>0</v>
      </c>
      <c r="AM82" s="430">
        <f>IF(AM$75&lt;=CNTR_YearMergerSplit,"",INDEX(B_InitialSituation!K$9:K$153,MATCH($R82,B_InitialSituation!$Q$9:$Q$153,0))*$AH82)</f>
        <v>0</v>
      </c>
      <c r="AN82" s="430">
        <f>IF(AN$75&lt;=CNTR_YearMergerSplit,"",INDEX(B_InitialSituation!L$9:L$153,MATCH($R82,B_InitialSituation!$Q$9:$Q$153,0))*$AH82)</f>
        <v>0</v>
      </c>
      <c r="AO82" s="430">
        <f>IF(AO$75&lt;=CNTR_YearMergerSplit,"",INDEX(B_InitialSituation!M$9:M$153,MATCH($R82,B_InitialSituation!$Q$9:$Q$153,0))*$AH82)</f>
        <v>0</v>
      </c>
      <c r="AP82" s="430">
        <f>IF(AP$75&lt;=CNTR_YearMergerSplit,"",INDEX(B_InitialSituation!N$9:N$153,MATCH($R82,B_InitialSituation!$Q$9:$Q$153,0))*$AH82)</f>
        <v>0</v>
      </c>
      <c r="AQ82" s="422"/>
    </row>
    <row r="83" spans="1:43" s="521" customFormat="1" ht="12.75" customHeight="1">
      <c r="A83" s="4"/>
      <c r="B83" s="5"/>
      <c r="C83" s="29">
        <v>7</v>
      </c>
      <c r="D83" s="933">
        <f t="shared" si="14"/>
      </c>
      <c r="E83" s="934"/>
      <c r="F83" s="935"/>
      <c r="G83" s="392">
        <f t="shared" si="15"/>
      </c>
      <c r="H83" s="392">
        <f t="shared" si="5"/>
      </c>
      <c r="I83" s="392">
        <f t="shared" si="6"/>
      </c>
      <c r="J83" s="392">
        <f t="shared" si="7"/>
      </c>
      <c r="K83" s="392">
        <f t="shared" si="8"/>
      </c>
      <c r="L83" s="392">
        <f t="shared" si="9"/>
      </c>
      <c r="M83" s="392">
        <f t="shared" si="10"/>
      </c>
      <c r="N83" s="392">
        <f t="shared" si="11"/>
      </c>
      <c r="O83" s="322"/>
      <c r="P83" s="9"/>
      <c r="Q83" s="450" t="str">
        <f t="shared" si="12"/>
        <v>FInitial_1_</v>
      </c>
      <c r="R83" s="450" t="str">
        <f t="shared" si="13"/>
        <v>FInitial_2_</v>
      </c>
      <c r="S83" s="422"/>
      <c r="T83" s="452">
        <f>IF(COUNTIF(B_InitialSituation!$T$9:$T$153,$C83)=0,"",INDEX(B_InitialSituation!$D$9:$D$153,MATCH($C83,B_InitialSituation!$T$9:$T$153,0)))</f>
      </c>
      <c r="U83" s="422"/>
      <c r="V83" s="452">
        <f t="shared" si="16"/>
        <v>1</v>
      </c>
      <c r="W83" s="422"/>
      <c r="X83" s="429">
        <f>INDEX(CHOOSE($V83,C_MergerSplitTransfer!$H$9:$H$68,C_MergerSplitTransfer!$K$9:$K$68),MATCH(Q83,C_MergerSplitTransfer!$T$9:$T$68,0))</f>
        <v>0</v>
      </c>
      <c r="Y83" s="430">
        <f>IF(Y$75&lt;=CNTR_YearMergerSplit,"",INDEX(B_InitialSituation!G$9:G$153,MATCH($Q83,B_InitialSituation!$Q$9:$Q$153,0))*$X83)</f>
        <v>0</v>
      </c>
      <c r="Z83" s="430">
        <f>IF(Z$75&lt;=CNTR_YearMergerSplit,"",INDEX(B_InitialSituation!H$9:H$153,MATCH($Q83,B_InitialSituation!$Q$9:$Q$153,0))*$X83)</f>
        <v>0</v>
      </c>
      <c r="AA83" s="430">
        <f>IF(AA$75&lt;=CNTR_YearMergerSplit,"",INDEX(B_InitialSituation!I$9:I$153,MATCH($Q83,B_InitialSituation!$Q$9:$Q$153,0))*$X83)</f>
        <v>0</v>
      </c>
      <c r="AB83" s="430">
        <f>IF(AB$75&lt;=CNTR_YearMergerSplit,"",INDEX(B_InitialSituation!J$9:J$153,MATCH($Q83,B_InitialSituation!$Q$9:$Q$153,0))*$X83)</f>
        <v>0</v>
      </c>
      <c r="AC83" s="430">
        <f>IF(AC$75&lt;=CNTR_YearMergerSplit,"",INDEX(B_InitialSituation!K$9:K$153,MATCH($Q83,B_InitialSituation!$Q$9:$Q$153,0))*$X83)</f>
        <v>0</v>
      </c>
      <c r="AD83" s="430">
        <f>IF(AD$75&lt;=CNTR_YearMergerSplit,"",INDEX(B_InitialSituation!L$9:L$153,MATCH($Q83,B_InitialSituation!$Q$9:$Q$153,0))*$X83)</f>
        <v>0</v>
      </c>
      <c r="AE83" s="430">
        <f>IF(AE$75&lt;=CNTR_YearMergerSplit,"",INDEX(B_InitialSituation!M$9:M$153,MATCH($Q83,B_InitialSituation!$Q$9:$Q$153,0))*$X83)</f>
        <v>0</v>
      </c>
      <c r="AF83" s="430">
        <f>IF(AF$75&lt;=CNTR_YearMergerSplit,"",INDEX(B_InitialSituation!N$9:N$153,MATCH($Q83,B_InitialSituation!$Q$9:$Q$153,0))*$X83)</f>
        <v>0</v>
      </c>
      <c r="AG83" s="422"/>
      <c r="AH83" s="429">
        <f>INDEX(CHOOSE($V83,C_MergerSplitTransfer!$H$9:$H$68,C_MergerSplitTransfer!$K$9:$K$68),MATCH(R83,C_MergerSplitTransfer!$T$9:$T$68,0))</f>
        <v>0</v>
      </c>
      <c r="AI83" s="430">
        <f>IF(AI$75&lt;=CNTR_YearMergerSplit,"",INDEX(B_InitialSituation!G$9:G$153,MATCH($R83,B_InitialSituation!$Q$9:$Q$153,0))*$AH83)</f>
        <v>0</v>
      </c>
      <c r="AJ83" s="430">
        <f>IF(AJ$75&lt;=CNTR_YearMergerSplit,"",INDEX(B_InitialSituation!H$9:H$153,MATCH($R83,B_InitialSituation!$Q$9:$Q$153,0))*$AH83)</f>
        <v>0</v>
      </c>
      <c r="AK83" s="430">
        <f>IF(AK$75&lt;=CNTR_YearMergerSplit,"",INDEX(B_InitialSituation!I$9:I$153,MATCH($R83,B_InitialSituation!$Q$9:$Q$153,0))*$AH83)</f>
        <v>0</v>
      </c>
      <c r="AL83" s="430">
        <f>IF(AL$75&lt;=CNTR_YearMergerSplit,"",INDEX(B_InitialSituation!J$9:J$153,MATCH($R83,B_InitialSituation!$Q$9:$Q$153,0))*$AH83)</f>
        <v>0</v>
      </c>
      <c r="AM83" s="430">
        <f>IF(AM$75&lt;=CNTR_YearMergerSplit,"",INDEX(B_InitialSituation!K$9:K$153,MATCH($R83,B_InitialSituation!$Q$9:$Q$153,0))*$AH83)</f>
        <v>0</v>
      </c>
      <c r="AN83" s="430">
        <f>IF(AN$75&lt;=CNTR_YearMergerSplit,"",INDEX(B_InitialSituation!L$9:L$153,MATCH($R83,B_InitialSituation!$Q$9:$Q$153,0))*$AH83)</f>
        <v>0</v>
      </c>
      <c r="AO83" s="430">
        <f>IF(AO$75&lt;=CNTR_YearMergerSplit,"",INDEX(B_InitialSituation!M$9:M$153,MATCH($R83,B_InitialSituation!$Q$9:$Q$153,0))*$AH83)</f>
        <v>0</v>
      </c>
      <c r="AP83" s="430">
        <f>IF(AP$75&lt;=CNTR_YearMergerSplit,"",INDEX(B_InitialSituation!N$9:N$153,MATCH($R83,B_InitialSituation!$Q$9:$Q$153,0))*$AH83)</f>
        <v>0</v>
      </c>
      <c r="AQ83" s="422"/>
    </row>
    <row r="84" spans="1:43" s="521" customFormat="1" ht="12.75" customHeight="1">
      <c r="A84" s="4"/>
      <c r="B84" s="5"/>
      <c r="C84" s="29">
        <v>8</v>
      </c>
      <c r="D84" s="933">
        <f t="shared" si="14"/>
      </c>
      <c r="E84" s="934"/>
      <c r="F84" s="935"/>
      <c r="G84" s="392">
        <f t="shared" si="15"/>
      </c>
      <c r="H84" s="392">
        <f t="shared" si="5"/>
      </c>
      <c r="I84" s="392">
        <f t="shared" si="6"/>
      </c>
      <c r="J84" s="392">
        <f t="shared" si="7"/>
      </c>
      <c r="K84" s="392">
        <f t="shared" si="8"/>
      </c>
      <c r="L84" s="392">
        <f t="shared" si="9"/>
      </c>
      <c r="M84" s="392">
        <f t="shared" si="10"/>
      </c>
      <c r="N84" s="392">
        <f t="shared" si="11"/>
      </c>
      <c r="O84" s="322"/>
      <c r="P84" s="9"/>
      <c r="Q84" s="450" t="str">
        <f t="shared" si="12"/>
        <v>FInitial_1_</v>
      </c>
      <c r="R84" s="450" t="str">
        <f t="shared" si="13"/>
        <v>FInitial_2_</v>
      </c>
      <c r="S84" s="422"/>
      <c r="T84" s="452">
        <f>IF(COUNTIF(B_InitialSituation!$T$9:$T$153,$C84)=0,"",INDEX(B_InitialSituation!$D$9:$D$153,MATCH($C84,B_InitialSituation!$T$9:$T$153,0)))</f>
      </c>
      <c r="U84" s="422"/>
      <c r="V84" s="452">
        <f t="shared" si="16"/>
        <v>1</v>
      </c>
      <c r="W84" s="422"/>
      <c r="X84" s="429">
        <f>INDEX(CHOOSE($V84,C_MergerSplitTransfer!$H$9:$H$68,C_MergerSplitTransfer!$K$9:$K$68),MATCH(Q84,C_MergerSplitTransfer!$T$9:$T$68,0))</f>
        <v>0</v>
      </c>
      <c r="Y84" s="430">
        <f>IF(Y$75&lt;=CNTR_YearMergerSplit,"",INDEX(B_InitialSituation!G$9:G$153,MATCH($Q84,B_InitialSituation!$Q$9:$Q$153,0))*$X84)</f>
        <v>0</v>
      </c>
      <c r="Z84" s="430">
        <f>IF(Z$75&lt;=CNTR_YearMergerSplit,"",INDEX(B_InitialSituation!H$9:H$153,MATCH($Q84,B_InitialSituation!$Q$9:$Q$153,0))*$X84)</f>
        <v>0</v>
      </c>
      <c r="AA84" s="430">
        <f>IF(AA$75&lt;=CNTR_YearMergerSplit,"",INDEX(B_InitialSituation!I$9:I$153,MATCH($Q84,B_InitialSituation!$Q$9:$Q$153,0))*$X84)</f>
        <v>0</v>
      </c>
      <c r="AB84" s="430">
        <f>IF(AB$75&lt;=CNTR_YearMergerSplit,"",INDEX(B_InitialSituation!J$9:J$153,MATCH($Q84,B_InitialSituation!$Q$9:$Q$153,0))*$X84)</f>
        <v>0</v>
      </c>
      <c r="AC84" s="430">
        <f>IF(AC$75&lt;=CNTR_YearMergerSplit,"",INDEX(B_InitialSituation!K$9:K$153,MATCH($Q84,B_InitialSituation!$Q$9:$Q$153,0))*$X84)</f>
        <v>0</v>
      </c>
      <c r="AD84" s="430">
        <f>IF(AD$75&lt;=CNTR_YearMergerSplit,"",INDEX(B_InitialSituation!L$9:L$153,MATCH($Q84,B_InitialSituation!$Q$9:$Q$153,0))*$X84)</f>
        <v>0</v>
      </c>
      <c r="AE84" s="430">
        <f>IF(AE$75&lt;=CNTR_YearMergerSplit,"",INDEX(B_InitialSituation!M$9:M$153,MATCH($Q84,B_InitialSituation!$Q$9:$Q$153,0))*$X84)</f>
        <v>0</v>
      </c>
      <c r="AF84" s="430">
        <f>IF(AF$75&lt;=CNTR_YearMergerSplit,"",INDEX(B_InitialSituation!N$9:N$153,MATCH($Q84,B_InitialSituation!$Q$9:$Q$153,0))*$X84)</f>
        <v>0</v>
      </c>
      <c r="AG84" s="422"/>
      <c r="AH84" s="429">
        <f>INDEX(CHOOSE($V84,C_MergerSplitTransfer!$H$9:$H$68,C_MergerSplitTransfer!$K$9:$K$68),MATCH(R84,C_MergerSplitTransfer!$T$9:$T$68,0))</f>
        <v>0</v>
      </c>
      <c r="AI84" s="430">
        <f>IF(AI$75&lt;=CNTR_YearMergerSplit,"",INDEX(B_InitialSituation!G$9:G$153,MATCH($R84,B_InitialSituation!$Q$9:$Q$153,0))*$AH84)</f>
        <v>0</v>
      </c>
      <c r="AJ84" s="430">
        <f>IF(AJ$75&lt;=CNTR_YearMergerSplit,"",INDEX(B_InitialSituation!H$9:H$153,MATCH($R84,B_InitialSituation!$Q$9:$Q$153,0))*$AH84)</f>
        <v>0</v>
      </c>
      <c r="AK84" s="430">
        <f>IF(AK$75&lt;=CNTR_YearMergerSplit,"",INDEX(B_InitialSituation!I$9:I$153,MATCH($R84,B_InitialSituation!$Q$9:$Q$153,0))*$AH84)</f>
        <v>0</v>
      </c>
      <c r="AL84" s="430">
        <f>IF(AL$75&lt;=CNTR_YearMergerSplit,"",INDEX(B_InitialSituation!J$9:J$153,MATCH($R84,B_InitialSituation!$Q$9:$Q$153,0))*$AH84)</f>
        <v>0</v>
      </c>
      <c r="AM84" s="430">
        <f>IF(AM$75&lt;=CNTR_YearMergerSplit,"",INDEX(B_InitialSituation!K$9:K$153,MATCH($R84,B_InitialSituation!$Q$9:$Q$153,0))*$AH84)</f>
        <v>0</v>
      </c>
      <c r="AN84" s="430">
        <f>IF(AN$75&lt;=CNTR_YearMergerSplit,"",INDEX(B_InitialSituation!L$9:L$153,MATCH($R84,B_InitialSituation!$Q$9:$Q$153,0))*$AH84)</f>
        <v>0</v>
      </c>
      <c r="AO84" s="430">
        <f>IF(AO$75&lt;=CNTR_YearMergerSplit,"",INDEX(B_InitialSituation!M$9:M$153,MATCH($R84,B_InitialSituation!$Q$9:$Q$153,0))*$AH84)</f>
        <v>0</v>
      </c>
      <c r="AP84" s="430">
        <f>IF(AP$75&lt;=CNTR_YearMergerSplit,"",INDEX(B_InitialSituation!N$9:N$153,MATCH($R84,B_InitialSituation!$Q$9:$Q$153,0))*$AH84)</f>
        <v>0</v>
      </c>
      <c r="AQ84" s="422"/>
    </row>
    <row r="85" spans="1:43" s="521" customFormat="1" ht="12.75" customHeight="1">
      <c r="A85" s="4"/>
      <c r="B85" s="5"/>
      <c r="C85" s="29">
        <v>9</v>
      </c>
      <c r="D85" s="933">
        <f t="shared" si="14"/>
      </c>
      <c r="E85" s="934"/>
      <c r="F85" s="935"/>
      <c r="G85" s="392">
        <f t="shared" si="15"/>
      </c>
      <c r="H85" s="392">
        <f t="shared" si="5"/>
      </c>
      <c r="I85" s="392">
        <f t="shared" si="6"/>
      </c>
      <c r="J85" s="392">
        <f t="shared" si="7"/>
      </c>
      <c r="K85" s="392">
        <f t="shared" si="8"/>
      </c>
      <c r="L85" s="392">
        <f t="shared" si="9"/>
      </c>
      <c r="M85" s="392">
        <f t="shared" si="10"/>
      </c>
      <c r="N85" s="392">
        <f t="shared" si="11"/>
      </c>
      <c r="O85" s="322"/>
      <c r="P85" s="9"/>
      <c r="Q85" s="450" t="str">
        <f t="shared" si="12"/>
        <v>FInitial_1_</v>
      </c>
      <c r="R85" s="450" t="str">
        <f t="shared" si="13"/>
        <v>FInitial_2_</v>
      </c>
      <c r="S85" s="422"/>
      <c r="T85" s="452">
        <f>IF(COUNTIF(B_InitialSituation!$T$9:$T$153,$C85)=0,"",INDEX(B_InitialSituation!$D$9:$D$153,MATCH($C85,B_InitialSituation!$T$9:$T$153,0)))</f>
      </c>
      <c r="U85" s="422"/>
      <c r="V85" s="452">
        <f t="shared" si="16"/>
        <v>1</v>
      </c>
      <c r="W85" s="422"/>
      <c r="X85" s="429">
        <f>INDEX(CHOOSE($V85,C_MergerSplitTransfer!$H$9:$H$68,C_MergerSplitTransfer!$K$9:$K$68),MATCH(Q85,C_MergerSplitTransfer!$T$9:$T$68,0))</f>
        <v>0</v>
      </c>
      <c r="Y85" s="430">
        <f>IF(Y$75&lt;=CNTR_YearMergerSplit,"",INDEX(B_InitialSituation!G$9:G$153,MATCH($Q85,B_InitialSituation!$Q$9:$Q$153,0))*$X85)</f>
        <v>0</v>
      </c>
      <c r="Z85" s="430">
        <f>IF(Z$75&lt;=CNTR_YearMergerSplit,"",INDEX(B_InitialSituation!H$9:H$153,MATCH($Q85,B_InitialSituation!$Q$9:$Q$153,0))*$X85)</f>
        <v>0</v>
      </c>
      <c r="AA85" s="430">
        <f>IF(AA$75&lt;=CNTR_YearMergerSplit,"",INDEX(B_InitialSituation!I$9:I$153,MATCH($Q85,B_InitialSituation!$Q$9:$Q$153,0))*$X85)</f>
        <v>0</v>
      </c>
      <c r="AB85" s="430">
        <f>IF(AB$75&lt;=CNTR_YearMergerSplit,"",INDEX(B_InitialSituation!J$9:J$153,MATCH($Q85,B_InitialSituation!$Q$9:$Q$153,0))*$X85)</f>
        <v>0</v>
      </c>
      <c r="AC85" s="430">
        <f>IF(AC$75&lt;=CNTR_YearMergerSplit,"",INDEX(B_InitialSituation!K$9:K$153,MATCH($Q85,B_InitialSituation!$Q$9:$Q$153,0))*$X85)</f>
        <v>0</v>
      </c>
      <c r="AD85" s="430">
        <f>IF(AD$75&lt;=CNTR_YearMergerSplit,"",INDEX(B_InitialSituation!L$9:L$153,MATCH($Q85,B_InitialSituation!$Q$9:$Q$153,0))*$X85)</f>
        <v>0</v>
      </c>
      <c r="AE85" s="430">
        <f>IF(AE$75&lt;=CNTR_YearMergerSplit,"",INDEX(B_InitialSituation!M$9:M$153,MATCH($Q85,B_InitialSituation!$Q$9:$Q$153,0))*$X85)</f>
        <v>0</v>
      </c>
      <c r="AF85" s="430">
        <f>IF(AF$75&lt;=CNTR_YearMergerSplit,"",INDEX(B_InitialSituation!N$9:N$153,MATCH($Q85,B_InitialSituation!$Q$9:$Q$153,0))*$X85)</f>
        <v>0</v>
      </c>
      <c r="AG85" s="422"/>
      <c r="AH85" s="429">
        <f>INDEX(CHOOSE($V85,C_MergerSplitTransfer!$H$9:$H$68,C_MergerSplitTransfer!$K$9:$K$68),MATCH(R85,C_MergerSplitTransfer!$T$9:$T$68,0))</f>
        <v>0</v>
      </c>
      <c r="AI85" s="430">
        <f>IF(AI$75&lt;=CNTR_YearMergerSplit,"",INDEX(B_InitialSituation!G$9:G$153,MATCH($R85,B_InitialSituation!$Q$9:$Q$153,0))*$AH85)</f>
        <v>0</v>
      </c>
      <c r="AJ85" s="430">
        <f>IF(AJ$75&lt;=CNTR_YearMergerSplit,"",INDEX(B_InitialSituation!H$9:H$153,MATCH($R85,B_InitialSituation!$Q$9:$Q$153,0))*$AH85)</f>
        <v>0</v>
      </c>
      <c r="AK85" s="430">
        <f>IF(AK$75&lt;=CNTR_YearMergerSplit,"",INDEX(B_InitialSituation!I$9:I$153,MATCH($R85,B_InitialSituation!$Q$9:$Q$153,0))*$AH85)</f>
        <v>0</v>
      </c>
      <c r="AL85" s="430">
        <f>IF(AL$75&lt;=CNTR_YearMergerSplit,"",INDEX(B_InitialSituation!J$9:J$153,MATCH($R85,B_InitialSituation!$Q$9:$Q$153,0))*$AH85)</f>
        <v>0</v>
      </c>
      <c r="AM85" s="430">
        <f>IF(AM$75&lt;=CNTR_YearMergerSplit,"",INDEX(B_InitialSituation!K$9:K$153,MATCH($R85,B_InitialSituation!$Q$9:$Q$153,0))*$AH85)</f>
        <v>0</v>
      </c>
      <c r="AN85" s="430">
        <f>IF(AN$75&lt;=CNTR_YearMergerSplit,"",INDEX(B_InitialSituation!L$9:L$153,MATCH($R85,B_InitialSituation!$Q$9:$Q$153,0))*$AH85)</f>
        <v>0</v>
      </c>
      <c r="AO85" s="430">
        <f>IF(AO$75&lt;=CNTR_YearMergerSplit,"",INDEX(B_InitialSituation!M$9:M$153,MATCH($R85,B_InitialSituation!$Q$9:$Q$153,0))*$AH85)</f>
        <v>0</v>
      </c>
      <c r="AP85" s="430">
        <f>IF(AP$75&lt;=CNTR_YearMergerSplit,"",INDEX(B_InitialSituation!N$9:N$153,MATCH($R85,B_InitialSituation!$Q$9:$Q$153,0))*$AH85)</f>
        <v>0</v>
      </c>
      <c r="AQ85" s="422"/>
    </row>
    <row r="86" spans="1:43" s="521" customFormat="1" ht="12.75" customHeight="1" thickBot="1">
      <c r="A86" s="4"/>
      <c r="B86" s="5"/>
      <c r="C86" s="25">
        <v>10</v>
      </c>
      <c r="D86" s="953">
        <f t="shared" si="14"/>
      </c>
      <c r="E86" s="954"/>
      <c r="F86" s="955"/>
      <c r="G86" s="393">
        <f t="shared" si="15"/>
      </c>
      <c r="H86" s="393">
        <f t="shared" si="5"/>
      </c>
      <c r="I86" s="393">
        <f t="shared" si="6"/>
      </c>
      <c r="J86" s="393">
        <f t="shared" si="7"/>
      </c>
      <c r="K86" s="393">
        <f t="shared" si="8"/>
      </c>
      <c r="L86" s="393">
        <f t="shared" si="9"/>
      </c>
      <c r="M86" s="393">
        <f t="shared" si="10"/>
      </c>
      <c r="N86" s="393">
        <f t="shared" si="11"/>
      </c>
      <c r="O86" s="322"/>
      <c r="P86" s="9"/>
      <c r="Q86" s="450" t="str">
        <f t="shared" si="12"/>
        <v>FInitial_1_</v>
      </c>
      <c r="R86" s="450" t="str">
        <f t="shared" si="13"/>
        <v>FInitial_2_</v>
      </c>
      <c r="S86" s="422"/>
      <c r="T86" s="453">
        <f>IF(COUNTIF(B_InitialSituation!$T$9:$T$153,$C86)=0,"",INDEX(B_InitialSituation!$D$9:$D$153,MATCH($C86,B_InitialSituation!$T$9:$T$153,0)))</f>
      </c>
      <c r="U86" s="422"/>
      <c r="V86" s="452">
        <f t="shared" si="16"/>
        <v>1</v>
      </c>
      <c r="W86" s="422"/>
      <c r="X86" s="431">
        <f>INDEX(CHOOSE($V86,C_MergerSplitTransfer!$H$9:$H$68,C_MergerSplitTransfer!$K$9:$K$68),MATCH(Q86,C_MergerSplitTransfer!$T$9:$T$68,0))</f>
        <v>0</v>
      </c>
      <c r="Y86" s="432">
        <f>IF(Y$75&lt;=CNTR_YearMergerSplit,"",INDEX(B_InitialSituation!G$9:G$153,MATCH($Q86,B_InitialSituation!$Q$9:$Q$153,0))*$X86)</f>
        <v>0</v>
      </c>
      <c r="Z86" s="432">
        <f>IF(Z$75&lt;=CNTR_YearMergerSplit,"",INDEX(B_InitialSituation!H$9:H$153,MATCH($Q86,B_InitialSituation!$Q$9:$Q$153,0))*$X86)</f>
        <v>0</v>
      </c>
      <c r="AA86" s="432">
        <f>IF(AA$75&lt;=CNTR_YearMergerSplit,"",INDEX(B_InitialSituation!I$9:I$153,MATCH($Q86,B_InitialSituation!$Q$9:$Q$153,0))*$X86)</f>
        <v>0</v>
      </c>
      <c r="AB86" s="432">
        <f>IF(AB$75&lt;=CNTR_YearMergerSplit,"",INDEX(B_InitialSituation!J$9:J$153,MATCH($Q86,B_InitialSituation!$Q$9:$Q$153,0))*$X86)</f>
        <v>0</v>
      </c>
      <c r="AC86" s="432">
        <f>IF(AC$75&lt;=CNTR_YearMergerSplit,"",INDEX(B_InitialSituation!K$9:K$153,MATCH($Q86,B_InitialSituation!$Q$9:$Q$153,0))*$X86)</f>
        <v>0</v>
      </c>
      <c r="AD86" s="432">
        <f>IF(AD$75&lt;=CNTR_YearMergerSplit,"",INDEX(B_InitialSituation!L$9:L$153,MATCH($Q86,B_InitialSituation!$Q$9:$Q$153,0))*$X86)</f>
        <v>0</v>
      </c>
      <c r="AE86" s="432">
        <f>IF(AE$75&lt;=CNTR_YearMergerSplit,"",INDEX(B_InitialSituation!M$9:M$153,MATCH($Q86,B_InitialSituation!$Q$9:$Q$153,0))*$X86)</f>
        <v>0</v>
      </c>
      <c r="AF86" s="432">
        <f>IF(AF$75&lt;=CNTR_YearMergerSplit,"",INDEX(B_InitialSituation!N$9:N$153,MATCH($Q86,B_InitialSituation!$Q$9:$Q$153,0))*$X86)</f>
        <v>0</v>
      </c>
      <c r="AG86" s="422"/>
      <c r="AH86" s="431">
        <f>INDEX(CHOOSE($V86,C_MergerSplitTransfer!$H$9:$H$68,C_MergerSplitTransfer!$K$9:$K$68),MATCH(R86,C_MergerSplitTransfer!$T$9:$T$68,0))</f>
        <v>0</v>
      </c>
      <c r="AI86" s="432">
        <f>IF(AI$75&lt;=CNTR_YearMergerSplit,"",INDEX(B_InitialSituation!G$9:G$153,MATCH($R86,B_InitialSituation!$Q$9:$Q$153,0))*$AH86)</f>
        <v>0</v>
      </c>
      <c r="AJ86" s="432">
        <f>IF(AJ$75&lt;=CNTR_YearMergerSplit,"",INDEX(B_InitialSituation!H$9:H$153,MATCH($R86,B_InitialSituation!$Q$9:$Q$153,0))*$AH86)</f>
        <v>0</v>
      </c>
      <c r="AK86" s="432">
        <f>IF(AK$75&lt;=CNTR_YearMergerSplit,"",INDEX(B_InitialSituation!I$9:I$153,MATCH($R86,B_InitialSituation!$Q$9:$Q$153,0))*$AH86)</f>
        <v>0</v>
      </c>
      <c r="AL86" s="432">
        <f>IF(AL$75&lt;=CNTR_YearMergerSplit,"",INDEX(B_InitialSituation!J$9:J$153,MATCH($R86,B_InitialSituation!$Q$9:$Q$153,0))*$AH86)</f>
        <v>0</v>
      </c>
      <c r="AM86" s="432">
        <f>IF(AM$75&lt;=CNTR_YearMergerSplit,"",INDEX(B_InitialSituation!K$9:K$153,MATCH($R86,B_InitialSituation!$Q$9:$Q$153,0))*$AH86)</f>
        <v>0</v>
      </c>
      <c r="AN86" s="432">
        <f>IF(AN$75&lt;=CNTR_YearMergerSplit,"",INDEX(B_InitialSituation!L$9:L$153,MATCH($R86,B_InitialSituation!$Q$9:$Q$153,0))*$AH86)</f>
        <v>0</v>
      </c>
      <c r="AO86" s="432">
        <f>IF(AO$75&lt;=CNTR_YearMergerSplit,"",INDEX(B_InitialSituation!M$9:M$153,MATCH($R86,B_InitialSituation!$Q$9:$Q$153,0))*$AH86)</f>
        <v>0</v>
      </c>
      <c r="AP86" s="432">
        <f>IF(AP$75&lt;=CNTR_YearMergerSplit,"",INDEX(B_InitialSituation!N$9:N$153,MATCH($R86,B_InitialSituation!$Q$9:$Q$153,0))*$AH86)</f>
        <v>0</v>
      </c>
      <c r="AQ86" s="422"/>
    </row>
    <row r="87" spans="1:43" s="521" customFormat="1" ht="12.75" customHeight="1">
      <c r="A87" s="4"/>
      <c r="B87" s="5"/>
      <c r="C87" s="29">
        <v>11</v>
      </c>
      <c r="D87" s="936" t="str">
        <f aca="true" t="shared" si="17" ref="D87:D92">INDEX(EUconst_FallBackListNames,C87-10)</f>
        <v>Sottoimpianto oggetto di un parametro di riferimento relativo al calore, CL</v>
      </c>
      <c r="E87" s="937"/>
      <c r="F87" s="938"/>
      <c r="G87" s="391">
        <f t="shared" si="15"/>
      </c>
      <c r="H87" s="391">
        <f t="shared" si="5"/>
      </c>
      <c r="I87" s="391">
        <f t="shared" si="6"/>
      </c>
      <c r="J87" s="391">
        <f t="shared" si="7"/>
      </c>
      <c r="K87" s="391">
        <f t="shared" si="8"/>
      </c>
      <c r="L87" s="391">
        <f t="shared" si="9"/>
      </c>
      <c r="M87" s="391">
        <f t="shared" si="10"/>
      </c>
      <c r="N87" s="391">
        <f t="shared" si="11"/>
      </c>
      <c r="O87" s="322"/>
      <c r="P87" s="9"/>
      <c r="Q87" s="450" t="str">
        <f t="shared" si="12"/>
        <v>FInitial_1_Sottoimpianto oggetto di un parametro di riferimento relativo al calore, CL</v>
      </c>
      <c r="R87" s="450" t="str">
        <f t="shared" si="13"/>
        <v>FInitial_2_Sottoimpianto oggetto di un parametro di riferimento relativo al calore, CL</v>
      </c>
      <c r="S87" s="422"/>
      <c r="T87" s="422"/>
      <c r="U87" s="422"/>
      <c r="V87" s="452">
        <f t="shared" si="16"/>
        <v>1</v>
      </c>
      <c r="W87" s="422"/>
      <c r="X87" s="427">
        <f>INDEX(CHOOSE($V87,C_MergerSplitTransfer!$H$9:$H$68,C_MergerSplitTransfer!$K$9:$K$68),MATCH(Q87,C_MergerSplitTransfer!$T$9:$T$68,0))</f>
        <v>0</v>
      </c>
      <c r="Y87" s="428">
        <f>IF(Y$75&lt;=CNTR_YearMergerSplit,"",INDEX(B_InitialSituation!G$9:G$153,MATCH($Q87,B_InitialSituation!$Q$9:$Q$153,0))*$X87)</f>
        <v>0</v>
      </c>
      <c r="Z87" s="428">
        <f>IF(Z$75&lt;=CNTR_YearMergerSplit,"",INDEX(B_InitialSituation!H$9:H$153,MATCH($Q87,B_InitialSituation!$Q$9:$Q$153,0))*$X87)</f>
        <v>0</v>
      </c>
      <c r="AA87" s="428">
        <f>IF(AA$75&lt;=CNTR_YearMergerSplit,"",INDEX(B_InitialSituation!I$9:I$153,MATCH($Q87,B_InitialSituation!$Q$9:$Q$153,0))*$X87)</f>
        <v>0</v>
      </c>
      <c r="AB87" s="428">
        <f>IF(AB$75&lt;=CNTR_YearMergerSplit,"",INDEX(B_InitialSituation!J$9:J$153,MATCH($Q87,B_InitialSituation!$Q$9:$Q$153,0))*$X87)</f>
        <v>0</v>
      </c>
      <c r="AC87" s="428">
        <f>IF(AC$75&lt;=CNTR_YearMergerSplit,"",INDEX(B_InitialSituation!K$9:K$153,MATCH($Q87,B_InitialSituation!$Q$9:$Q$153,0))*$X87)</f>
        <v>0</v>
      </c>
      <c r="AD87" s="428">
        <f>IF(AD$75&lt;=CNTR_YearMergerSplit,"",INDEX(B_InitialSituation!L$9:L$153,MATCH($Q87,B_InitialSituation!$Q$9:$Q$153,0))*$X87)</f>
        <v>0</v>
      </c>
      <c r="AE87" s="428">
        <f>IF(AE$75&lt;=CNTR_YearMergerSplit,"",INDEX(B_InitialSituation!M$9:M$153,MATCH($Q87,B_InitialSituation!$Q$9:$Q$153,0))*$X87)</f>
        <v>0</v>
      </c>
      <c r="AF87" s="428">
        <f>IF(AF$75&lt;=CNTR_YearMergerSplit,"",INDEX(B_InitialSituation!N$9:N$153,MATCH($Q87,B_InitialSituation!$Q$9:$Q$153,0))*$X87)</f>
        <v>0</v>
      </c>
      <c r="AG87" s="422"/>
      <c r="AH87" s="427">
        <f>INDEX(CHOOSE($V87,C_MergerSplitTransfer!$H$9:$H$68,C_MergerSplitTransfer!$K$9:$K$68),MATCH(R87,C_MergerSplitTransfer!$T$9:$T$68,0))</f>
        <v>0</v>
      </c>
      <c r="AI87" s="428">
        <f>IF(AI$75&lt;=CNTR_YearMergerSplit,"",INDEX(B_InitialSituation!G$9:G$153,MATCH($R87,B_InitialSituation!$Q$9:$Q$153,0))*$AH87)</f>
        <v>0</v>
      </c>
      <c r="AJ87" s="428">
        <f>IF(AJ$75&lt;=CNTR_YearMergerSplit,"",INDEX(B_InitialSituation!H$9:H$153,MATCH($R87,B_InitialSituation!$Q$9:$Q$153,0))*$AH87)</f>
        <v>0</v>
      </c>
      <c r="AK87" s="428">
        <f>IF(AK$75&lt;=CNTR_YearMergerSplit,"",INDEX(B_InitialSituation!I$9:I$153,MATCH($R87,B_InitialSituation!$Q$9:$Q$153,0))*$AH87)</f>
        <v>0</v>
      </c>
      <c r="AL87" s="428">
        <f>IF(AL$75&lt;=CNTR_YearMergerSplit,"",INDEX(B_InitialSituation!J$9:J$153,MATCH($R87,B_InitialSituation!$Q$9:$Q$153,0))*$AH87)</f>
        <v>0</v>
      </c>
      <c r="AM87" s="428">
        <f>IF(AM$75&lt;=CNTR_YearMergerSplit,"",INDEX(B_InitialSituation!K$9:K$153,MATCH($R87,B_InitialSituation!$Q$9:$Q$153,0))*$AH87)</f>
        <v>0</v>
      </c>
      <c r="AN87" s="428">
        <f>IF(AN$75&lt;=CNTR_YearMergerSplit,"",INDEX(B_InitialSituation!L$9:L$153,MATCH($R87,B_InitialSituation!$Q$9:$Q$153,0))*$AH87)</f>
        <v>0</v>
      </c>
      <c r="AO87" s="428">
        <f>IF(AO$75&lt;=CNTR_YearMergerSplit,"",INDEX(B_InitialSituation!M$9:M$153,MATCH($R87,B_InitialSituation!$Q$9:$Q$153,0))*$AH87)</f>
        <v>0</v>
      </c>
      <c r="AP87" s="428">
        <f>IF(AP$75&lt;=CNTR_YearMergerSplit,"",INDEX(B_InitialSituation!N$9:N$153,MATCH($R87,B_InitialSituation!$Q$9:$Q$153,0))*$AH87)</f>
        <v>0</v>
      </c>
      <c r="AQ87" s="422"/>
    </row>
    <row r="88" spans="1:43" s="521" customFormat="1" ht="12.75" customHeight="1">
      <c r="A88" s="4"/>
      <c r="B88" s="5"/>
      <c r="C88" s="29">
        <v>12</v>
      </c>
      <c r="D88" s="947" t="str">
        <f t="shared" si="17"/>
        <v>Sottoimpianto oggetto di un parametro di riferimento relativo al calore, non CL</v>
      </c>
      <c r="E88" s="948"/>
      <c r="F88" s="949"/>
      <c r="G88" s="392">
        <f t="shared" si="15"/>
      </c>
      <c r="H88" s="392">
        <f t="shared" si="5"/>
      </c>
      <c r="I88" s="392">
        <f t="shared" si="6"/>
      </c>
      <c r="J88" s="392">
        <f t="shared" si="7"/>
      </c>
      <c r="K88" s="392">
        <f t="shared" si="8"/>
      </c>
      <c r="L88" s="392">
        <f t="shared" si="9"/>
      </c>
      <c r="M88" s="392">
        <f t="shared" si="10"/>
      </c>
      <c r="N88" s="392">
        <f t="shared" si="11"/>
      </c>
      <c r="O88" s="322"/>
      <c r="P88" s="9"/>
      <c r="Q88" s="450" t="str">
        <f t="shared" si="12"/>
        <v>FInitial_1_Sottoimpianto oggetto di un parametro di riferimento relativo al calore, non CL</v>
      </c>
      <c r="R88" s="450" t="str">
        <f t="shared" si="13"/>
        <v>FInitial_2_Sottoimpianto oggetto di un parametro di riferimento relativo al calore, non CL</v>
      </c>
      <c r="S88" s="422"/>
      <c r="T88" s="422"/>
      <c r="U88" s="422"/>
      <c r="V88" s="452">
        <f t="shared" si="16"/>
        <v>1</v>
      </c>
      <c r="W88" s="422"/>
      <c r="X88" s="429">
        <f>INDEX(CHOOSE($V88,C_MergerSplitTransfer!$H$9:$H$68,C_MergerSplitTransfer!$K$9:$K$68),MATCH(Q88,C_MergerSplitTransfer!$T$9:$T$68,0))</f>
        <v>0</v>
      </c>
      <c r="Y88" s="430">
        <f>IF(Y$75&lt;=CNTR_YearMergerSplit,"",INDEX(B_InitialSituation!G$9:G$153,MATCH($Q88,B_InitialSituation!$Q$9:$Q$153,0))*$X88)</f>
        <v>0</v>
      </c>
      <c r="Z88" s="430">
        <f>IF(Z$75&lt;=CNTR_YearMergerSplit,"",INDEX(B_InitialSituation!H$9:H$153,MATCH($Q88,B_InitialSituation!$Q$9:$Q$153,0))*$X88)</f>
        <v>0</v>
      </c>
      <c r="AA88" s="430">
        <f>IF(AA$75&lt;=CNTR_YearMergerSplit,"",INDEX(B_InitialSituation!I$9:I$153,MATCH($Q88,B_InitialSituation!$Q$9:$Q$153,0))*$X88)</f>
        <v>0</v>
      </c>
      <c r="AB88" s="430">
        <f>IF(AB$75&lt;=CNTR_YearMergerSplit,"",INDEX(B_InitialSituation!J$9:J$153,MATCH($Q88,B_InitialSituation!$Q$9:$Q$153,0))*$X88)</f>
        <v>0</v>
      </c>
      <c r="AC88" s="430">
        <f>IF(AC$75&lt;=CNTR_YearMergerSplit,"",INDEX(B_InitialSituation!K$9:K$153,MATCH($Q88,B_InitialSituation!$Q$9:$Q$153,0))*$X88)</f>
        <v>0</v>
      </c>
      <c r="AD88" s="430">
        <f>IF(AD$75&lt;=CNTR_YearMergerSplit,"",INDEX(B_InitialSituation!L$9:L$153,MATCH($Q88,B_InitialSituation!$Q$9:$Q$153,0))*$X88)</f>
        <v>0</v>
      </c>
      <c r="AE88" s="430">
        <f>IF(AE$75&lt;=CNTR_YearMergerSplit,"",INDEX(B_InitialSituation!M$9:M$153,MATCH($Q88,B_InitialSituation!$Q$9:$Q$153,0))*$X88)</f>
        <v>0</v>
      </c>
      <c r="AF88" s="430">
        <f>IF(AF$75&lt;=CNTR_YearMergerSplit,"",INDEX(B_InitialSituation!N$9:N$153,MATCH($Q88,B_InitialSituation!$Q$9:$Q$153,0))*$X88)</f>
        <v>0</v>
      </c>
      <c r="AG88" s="422"/>
      <c r="AH88" s="429">
        <f>INDEX(CHOOSE($V88,C_MergerSplitTransfer!$H$9:$H$68,C_MergerSplitTransfer!$K$9:$K$68),MATCH(R88,C_MergerSplitTransfer!$T$9:$T$68,0))</f>
        <v>0</v>
      </c>
      <c r="AI88" s="430">
        <f>IF(AI$75&lt;=CNTR_YearMergerSplit,"",INDEX(B_InitialSituation!G$9:G$153,MATCH($R88,B_InitialSituation!$Q$9:$Q$153,0))*$AH88)</f>
        <v>0</v>
      </c>
      <c r="AJ88" s="430">
        <f>IF(AJ$75&lt;=CNTR_YearMergerSplit,"",INDEX(B_InitialSituation!H$9:H$153,MATCH($R88,B_InitialSituation!$Q$9:$Q$153,0))*$AH88)</f>
        <v>0</v>
      </c>
      <c r="AK88" s="430">
        <f>IF(AK$75&lt;=CNTR_YearMergerSplit,"",INDEX(B_InitialSituation!I$9:I$153,MATCH($R88,B_InitialSituation!$Q$9:$Q$153,0))*$AH88)</f>
        <v>0</v>
      </c>
      <c r="AL88" s="430">
        <f>IF(AL$75&lt;=CNTR_YearMergerSplit,"",INDEX(B_InitialSituation!J$9:J$153,MATCH($R88,B_InitialSituation!$Q$9:$Q$153,0))*$AH88)</f>
        <v>0</v>
      </c>
      <c r="AM88" s="430">
        <f>IF(AM$75&lt;=CNTR_YearMergerSplit,"",INDEX(B_InitialSituation!K$9:K$153,MATCH($R88,B_InitialSituation!$Q$9:$Q$153,0))*$AH88)</f>
        <v>0</v>
      </c>
      <c r="AN88" s="430">
        <f>IF(AN$75&lt;=CNTR_YearMergerSplit,"",INDEX(B_InitialSituation!L$9:L$153,MATCH($R88,B_InitialSituation!$Q$9:$Q$153,0))*$AH88)</f>
        <v>0</v>
      </c>
      <c r="AO88" s="430">
        <f>IF(AO$75&lt;=CNTR_YearMergerSplit,"",INDEX(B_InitialSituation!M$9:M$153,MATCH($R88,B_InitialSituation!$Q$9:$Q$153,0))*$AH88)</f>
        <v>0</v>
      </c>
      <c r="AP88" s="430">
        <f>IF(AP$75&lt;=CNTR_YearMergerSplit,"",INDEX(B_InitialSituation!N$9:N$153,MATCH($R88,B_InitialSituation!$Q$9:$Q$153,0))*$AH88)</f>
        <v>0</v>
      </c>
      <c r="AQ88" s="422"/>
    </row>
    <row r="89" spans="1:43" s="521" customFormat="1" ht="12.75" customHeight="1">
      <c r="A89" s="4"/>
      <c r="B89" s="5"/>
      <c r="C89" s="29">
        <v>13</v>
      </c>
      <c r="D89" s="947" t="str">
        <f t="shared" si="17"/>
        <v>Sottoimpianto oggetto di un parametro di riferimento relativo al combustibile, CL</v>
      </c>
      <c r="E89" s="948"/>
      <c r="F89" s="949"/>
      <c r="G89" s="392">
        <f t="shared" si="15"/>
      </c>
      <c r="H89" s="392">
        <f t="shared" si="5"/>
      </c>
      <c r="I89" s="392">
        <f t="shared" si="6"/>
      </c>
      <c r="J89" s="392">
        <f t="shared" si="7"/>
      </c>
      <c r="K89" s="392">
        <f t="shared" si="8"/>
      </c>
      <c r="L89" s="392">
        <f t="shared" si="9"/>
      </c>
      <c r="M89" s="392">
        <f t="shared" si="10"/>
      </c>
      <c r="N89" s="392">
        <f t="shared" si="11"/>
      </c>
      <c r="O89" s="322"/>
      <c r="P89" s="9"/>
      <c r="Q89" s="450" t="str">
        <f t="shared" si="12"/>
        <v>FInitial_1_Sottoimpianto oggetto di un parametro di riferimento relativo al combustibile, CL</v>
      </c>
      <c r="R89" s="450" t="str">
        <f t="shared" si="13"/>
        <v>FInitial_2_Sottoimpianto oggetto di un parametro di riferimento relativo al combustibile, CL</v>
      </c>
      <c r="S89" s="422"/>
      <c r="T89" s="422"/>
      <c r="U89" s="422"/>
      <c r="V89" s="452">
        <f t="shared" si="16"/>
        <v>1</v>
      </c>
      <c r="W89" s="422"/>
      <c r="X89" s="429">
        <f>INDEX(CHOOSE($V89,C_MergerSplitTransfer!$H$9:$H$68,C_MergerSplitTransfer!$K$9:$K$68),MATCH(Q89,C_MergerSplitTransfer!$T$9:$T$68,0))</f>
        <v>0</v>
      </c>
      <c r="Y89" s="430">
        <f>IF(Y$75&lt;=CNTR_YearMergerSplit,"",INDEX(B_InitialSituation!G$9:G$153,MATCH($Q89,B_InitialSituation!$Q$9:$Q$153,0))*$X89)</f>
        <v>0</v>
      </c>
      <c r="Z89" s="430">
        <f>IF(Z$75&lt;=CNTR_YearMergerSplit,"",INDEX(B_InitialSituation!H$9:H$153,MATCH($Q89,B_InitialSituation!$Q$9:$Q$153,0))*$X89)</f>
        <v>0</v>
      </c>
      <c r="AA89" s="430">
        <f>IF(AA$75&lt;=CNTR_YearMergerSplit,"",INDEX(B_InitialSituation!I$9:I$153,MATCH($Q89,B_InitialSituation!$Q$9:$Q$153,0))*$X89)</f>
        <v>0</v>
      </c>
      <c r="AB89" s="430">
        <f>IF(AB$75&lt;=CNTR_YearMergerSplit,"",INDEX(B_InitialSituation!J$9:J$153,MATCH($Q89,B_InitialSituation!$Q$9:$Q$153,0))*$X89)</f>
        <v>0</v>
      </c>
      <c r="AC89" s="430">
        <f>IF(AC$75&lt;=CNTR_YearMergerSplit,"",INDEX(B_InitialSituation!K$9:K$153,MATCH($Q89,B_InitialSituation!$Q$9:$Q$153,0))*$X89)</f>
        <v>0</v>
      </c>
      <c r="AD89" s="430">
        <f>IF(AD$75&lt;=CNTR_YearMergerSplit,"",INDEX(B_InitialSituation!L$9:L$153,MATCH($Q89,B_InitialSituation!$Q$9:$Q$153,0))*$X89)</f>
        <v>0</v>
      </c>
      <c r="AE89" s="430">
        <f>IF(AE$75&lt;=CNTR_YearMergerSplit,"",INDEX(B_InitialSituation!M$9:M$153,MATCH($Q89,B_InitialSituation!$Q$9:$Q$153,0))*$X89)</f>
        <v>0</v>
      </c>
      <c r="AF89" s="430">
        <f>IF(AF$75&lt;=CNTR_YearMergerSplit,"",INDEX(B_InitialSituation!N$9:N$153,MATCH($Q89,B_InitialSituation!$Q$9:$Q$153,0))*$X89)</f>
        <v>0</v>
      </c>
      <c r="AG89" s="422"/>
      <c r="AH89" s="429">
        <f>INDEX(CHOOSE($V89,C_MergerSplitTransfer!$H$9:$H$68,C_MergerSplitTransfer!$K$9:$K$68),MATCH(R89,C_MergerSplitTransfer!$T$9:$T$68,0))</f>
        <v>0</v>
      </c>
      <c r="AI89" s="430">
        <f>IF(AI$75&lt;=CNTR_YearMergerSplit,"",INDEX(B_InitialSituation!G$9:G$153,MATCH($R89,B_InitialSituation!$Q$9:$Q$153,0))*$AH89)</f>
        <v>0</v>
      </c>
      <c r="AJ89" s="430">
        <f>IF(AJ$75&lt;=CNTR_YearMergerSplit,"",INDEX(B_InitialSituation!H$9:H$153,MATCH($R89,B_InitialSituation!$Q$9:$Q$153,0))*$AH89)</f>
        <v>0</v>
      </c>
      <c r="AK89" s="430">
        <f>IF(AK$75&lt;=CNTR_YearMergerSplit,"",INDEX(B_InitialSituation!I$9:I$153,MATCH($R89,B_InitialSituation!$Q$9:$Q$153,0))*$AH89)</f>
        <v>0</v>
      </c>
      <c r="AL89" s="430">
        <f>IF(AL$75&lt;=CNTR_YearMergerSplit,"",INDEX(B_InitialSituation!J$9:J$153,MATCH($R89,B_InitialSituation!$Q$9:$Q$153,0))*$AH89)</f>
        <v>0</v>
      </c>
      <c r="AM89" s="430">
        <f>IF(AM$75&lt;=CNTR_YearMergerSplit,"",INDEX(B_InitialSituation!K$9:K$153,MATCH($R89,B_InitialSituation!$Q$9:$Q$153,0))*$AH89)</f>
        <v>0</v>
      </c>
      <c r="AN89" s="430">
        <f>IF(AN$75&lt;=CNTR_YearMergerSplit,"",INDEX(B_InitialSituation!L$9:L$153,MATCH($R89,B_InitialSituation!$Q$9:$Q$153,0))*$AH89)</f>
        <v>0</v>
      </c>
      <c r="AO89" s="430">
        <f>IF(AO$75&lt;=CNTR_YearMergerSplit,"",INDEX(B_InitialSituation!M$9:M$153,MATCH($R89,B_InitialSituation!$Q$9:$Q$153,0))*$AH89)</f>
        <v>0</v>
      </c>
      <c r="AP89" s="430">
        <f>IF(AP$75&lt;=CNTR_YearMergerSplit,"",INDEX(B_InitialSituation!N$9:N$153,MATCH($R89,B_InitialSituation!$Q$9:$Q$153,0))*$AH89)</f>
        <v>0</v>
      </c>
      <c r="AQ89" s="422"/>
    </row>
    <row r="90" spans="1:43" s="521" customFormat="1" ht="12.75" customHeight="1">
      <c r="A90" s="4"/>
      <c r="B90" s="5"/>
      <c r="C90" s="29">
        <v>14</v>
      </c>
      <c r="D90" s="947" t="str">
        <f t="shared" si="17"/>
        <v>Sottoimpianto oggetto di un parametro di riferimento relativo al combustibile, non CL</v>
      </c>
      <c r="E90" s="948"/>
      <c r="F90" s="949"/>
      <c r="G90" s="392">
        <f t="shared" si="15"/>
      </c>
      <c r="H90" s="392">
        <f t="shared" si="5"/>
      </c>
      <c r="I90" s="392">
        <f t="shared" si="6"/>
      </c>
      <c r="J90" s="392">
        <f t="shared" si="7"/>
      </c>
      <c r="K90" s="392">
        <f t="shared" si="8"/>
      </c>
      <c r="L90" s="392">
        <f t="shared" si="9"/>
      </c>
      <c r="M90" s="392">
        <f t="shared" si="10"/>
      </c>
      <c r="N90" s="392">
        <f t="shared" si="11"/>
      </c>
      <c r="O90" s="322"/>
      <c r="P90" s="9"/>
      <c r="Q90" s="450" t="str">
        <f t="shared" si="12"/>
        <v>FInitial_1_Sottoimpianto oggetto di un parametro di riferimento relativo al combustibile, non CL</v>
      </c>
      <c r="R90" s="450" t="str">
        <f t="shared" si="13"/>
        <v>FInitial_2_Sottoimpianto oggetto di un parametro di riferimento relativo al combustibile, non CL</v>
      </c>
      <c r="S90" s="422"/>
      <c r="T90" s="422"/>
      <c r="U90" s="422"/>
      <c r="V90" s="452">
        <f t="shared" si="16"/>
        <v>1</v>
      </c>
      <c r="W90" s="422"/>
      <c r="X90" s="429">
        <f>INDEX(CHOOSE($V90,C_MergerSplitTransfer!$H$9:$H$68,C_MergerSplitTransfer!$K$9:$K$68),MATCH(Q90,C_MergerSplitTransfer!$T$9:$T$68,0))</f>
        <v>0</v>
      </c>
      <c r="Y90" s="430">
        <f>IF(Y$75&lt;=CNTR_YearMergerSplit,"",INDEX(B_InitialSituation!G$9:G$153,MATCH($Q90,B_InitialSituation!$Q$9:$Q$153,0))*$X90)</f>
        <v>0</v>
      </c>
      <c r="Z90" s="430">
        <f>IF(Z$75&lt;=CNTR_YearMergerSplit,"",INDEX(B_InitialSituation!H$9:H$153,MATCH($Q90,B_InitialSituation!$Q$9:$Q$153,0))*$X90)</f>
        <v>0</v>
      </c>
      <c r="AA90" s="430">
        <f>IF(AA$75&lt;=CNTR_YearMergerSplit,"",INDEX(B_InitialSituation!I$9:I$153,MATCH($Q90,B_InitialSituation!$Q$9:$Q$153,0))*$X90)</f>
        <v>0</v>
      </c>
      <c r="AB90" s="430">
        <f>IF(AB$75&lt;=CNTR_YearMergerSplit,"",INDEX(B_InitialSituation!J$9:J$153,MATCH($Q90,B_InitialSituation!$Q$9:$Q$153,0))*$X90)</f>
        <v>0</v>
      </c>
      <c r="AC90" s="430">
        <f>IF(AC$75&lt;=CNTR_YearMergerSplit,"",INDEX(B_InitialSituation!K$9:K$153,MATCH($Q90,B_InitialSituation!$Q$9:$Q$153,0))*$X90)</f>
        <v>0</v>
      </c>
      <c r="AD90" s="430">
        <f>IF(AD$75&lt;=CNTR_YearMergerSplit,"",INDEX(B_InitialSituation!L$9:L$153,MATCH($Q90,B_InitialSituation!$Q$9:$Q$153,0))*$X90)</f>
        <v>0</v>
      </c>
      <c r="AE90" s="430">
        <f>IF(AE$75&lt;=CNTR_YearMergerSplit,"",INDEX(B_InitialSituation!M$9:M$153,MATCH($Q90,B_InitialSituation!$Q$9:$Q$153,0))*$X90)</f>
        <v>0</v>
      </c>
      <c r="AF90" s="430">
        <f>IF(AF$75&lt;=CNTR_YearMergerSplit,"",INDEX(B_InitialSituation!N$9:N$153,MATCH($Q90,B_InitialSituation!$Q$9:$Q$153,0))*$X90)</f>
        <v>0</v>
      </c>
      <c r="AG90" s="422"/>
      <c r="AH90" s="429">
        <f>INDEX(CHOOSE($V90,C_MergerSplitTransfer!$H$9:$H$68,C_MergerSplitTransfer!$K$9:$K$68),MATCH(R90,C_MergerSplitTransfer!$T$9:$T$68,0))</f>
        <v>0</v>
      </c>
      <c r="AI90" s="430">
        <f>IF(AI$75&lt;=CNTR_YearMergerSplit,"",INDEX(B_InitialSituation!G$9:G$153,MATCH($R90,B_InitialSituation!$Q$9:$Q$153,0))*$AH90)</f>
        <v>0</v>
      </c>
      <c r="AJ90" s="430">
        <f>IF(AJ$75&lt;=CNTR_YearMergerSplit,"",INDEX(B_InitialSituation!H$9:H$153,MATCH($R90,B_InitialSituation!$Q$9:$Q$153,0))*$AH90)</f>
        <v>0</v>
      </c>
      <c r="AK90" s="430">
        <f>IF(AK$75&lt;=CNTR_YearMergerSplit,"",INDEX(B_InitialSituation!I$9:I$153,MATCH($R90,B_InitialSituation!$Q$9:$Q$153,0))*$AH90)</f>
        <v>0</v>
      </c>
      <c r="AL90" s="430">
        <f>IF(AL$75&lt;=CNTR_YearMergerSplit,"",INDEX(B_InitialSituation!J$9:J$153,MATCH($R90,B_InitialSituation!$Q$9:$Q$153,0))*$AH90)</f>
        <v>0</v>
      </c>
      <c r="AM90" s="430">
        <f>IF(AM$75&lt;=CNTR_YearMergerSplit,"",INDEX(B_InitialSituation!K$9:K$153,MATCH($R90,B_InitialSituation!$Q$9:$Q$153,0))*$AH90)</f>
        <v>0</v>
      </c>
      <c r="AN90" s="430">
        <f>IF(AN$75&lt;=CNTR_YearMergerSplit,"",INDEX(B_InitialSituation!L$9:L$153,MATCH($R90,B_InitialSituation!$Q$9:$Q$153,0))*$AH90)</f>
        <v>0</v>
      </c>
      <c r="AO90" s="430">
        <f>IF(AO$75&lt;=CNTR_YearMergerSplit,"",INDEX(B_InitialSituation!M$9:M$153,MATCH($R90,B_InitialSituation!$Q$9:$Q$153,0))*$AH90)</f>
        <v>0</v>
      </c>
      <c r="AP90" s="430">
        <f>IF(AP$75&lt;=CNTR_YearMergerSplit,"",INDEX(B_InitialSituation!N$9:N$153,MATCH($R90,B_InitialSituation!$Q$9:$Q$153,0))*$AH90)</f>
        <v>0</v>
      </c>
      <c r="AQ90" s="422"/>
    </row>
    <row r="91" spans="1:43" s="521" customFormat="1" ht="12.75" customHeight="1">
      <c r="A91" s="4"/>
      <c r="B91" s="5"/>
      <c r="C91" s="29">
        <v>15</v>
      </c>
      <c r="D91" s="947" t="str">
        <f t="shared" si="17"/>
        <v>Sottoimpianto con emissioni di processo, CL</v>
      </c>
      <c r="E91" s="948"/>
      <c r="F91" s="949"/>
      <c r="G91" s="392">
        <f t="shared" si="15"/>
      </c>
      <c r="H91" s="392">
        <f t="shared" si="5"/>
      </c>
      <c r="I91" s="392">
        <f t="shared" si="6"/>
      </c>
      <c r="J91" s="392">
        <f t="shared" si="7"/>
      </c>
      <c r="K91" s="392">
        <f t="shared" si="8"/>
      </c>
      <c r="L91" s="392">
        <f t="shared" si="9"/>
      </c>
      <c r="M91" s="392">
        <f t="shared" si="10"/>
      </c>
      <c r="N91" s="392">
        <f t="shared" si="11"/>
      </c>
      <c r="O91" s="322"/>
      <c r="P91" s="9"/>
      <c r="Q91" s="450" t="str">
        <f t="shared" si="12"/>
        <v>FInitial_1_Sottoimpianto con emissioni di processo, CL</v>
      </c>
      <c r="R91" s="450" t="str">
        <f t="shared" si="13"/>
        <v>FInitial_2_Sottoimpianto con emissioni di processo, CL</v>
      </c>
      <c r="S91" s="422"/>
      <c r="T91" s="422"/>
      <c r="U91" s="422"/>
      <c r="V91" s="452">
        <f t="shared" si="16"/>
        <v>1</v>
      </c>
      <c r="W91" s="422"/>
      <c r="X91" s="429">
        <f>INDEX(CHOOSE($V91,C_MergerSplitTransfer!$H$9:$H$68,C_MergerSplitTransfer!$K$9:$K$68),MATCH(Q91,C_MergerSplitTransfer!$T$9:$T$68,0))</f>
        <v>0</v>
      </c>
      <c r="Y91" s="430">
        <f>IF(Y$75&lt;=CNTR_YearMergerSplit,"",INDEX(B_InitialSituation!G$9:G$153,MATCH($Q91,B_InitialSituation!$Q$9:$Q$153,0))*$X91)</f>
        <v>0</v>
      </c>
      <c r="Z91" s="430">
        <f>IF(Z$75&lt;=CNTR_YearMergerSplit,"",INDEX(B_InitialSituation!H$9:H$153,MATCH($Q91,B_InitialSituation!$Q$9:$Q$153,0))*$X91)</f>
        <v>0</v>
      </c>
      <c r="AA91" s="430">
        <f>IF(AA$75&lt;=CNTR_YearMergerSplit,"",INDEX(B_InitialSituation!I$9:I$153,MATCH($Q91,B_InitialSituation!$Q$9:$Q$153,0))*$X91)</f>
        <v>0</v>
      </c>
      <c r="AB91" s="430">
        <f>IF(AB$75&lt;=CNTR_YearMergerSplit,"",INDEX(B_InitialSituation!J$9:J$153,MATCH($Q91,B_InitialSituation!$Q$9:$Q$153,0))*$X91)</f>
        <v>0</v>
      </c>
      <c r="AC91" s="430">
        <f>IF(AC$75&lt;=CNTR_YearMergerSplit,"",INDEX(B_InitialSituation!K$9:K$153,MATCH($Q91,B_InitialSituation!$Q$9:$Q$153,0))*$X91)</f>
        <v>0</v>
      </c>
      <c r="AD91" s="430">
        <f>IF(AD$75&lt;=CNTR_YearMergerSplit,"",INDEX(B_InitialSituation!L$9:L$153,MATCH($Q91,B_InitialSituation!$Q$9:$Q$153,0))*$X91)</f>
        <v>0</v>
      </c>
      <c r="AE91" s="430">
        <f>IF(AE$75&lt;=CNTR_YearMergerSplit,"",INDEX(B_InitialSituation!M$9:M$153,MATCH($Q91,B_InitialSituation!$Q$9:$Q$153,0))*$X91)</f>
        <v>0</v>
      </c>
      <c r="AF91" s="430">
        <f>IF(AF$75&lt;=CNTR_YearMergerSplit,"",INDEX(B_InitialSituation!N$9:N$153,MATCH($Q91,B_InitialSituation!$Q$9:$Q$153,0))*$X91)</f>
        <v>0</v>
      </c>
      <c r="AG91" s="422"/>
      <c r="AH91" s="429">
        <f>INDEX(CHOOSE($V91,C_MergerSplitTransfer!$H$9:$H$68,C_MergerSplitTransfer!$K$9:$K$68),MATCH(R91,C_MergerSplitTransfer!$T$9:$T$68,0))</f>
        <v>0</v>
      </c>
      <c r="AI91" s="430">
        <f>IF(AI$75&lt;=CNTR_YearMergerSplit,"",INDEX(B_InitialSituation!G$9:G$153,MATCH($R91,B_InitialSituation!$Q$9:$Q$153,0))*$AH91)</f>
        <v>0</v>
      </c>
      <c r="AJ91" s="430">
        <f>IF(AJ$75&lt;=CNTR_YearMergerSplit,"",INDEX(B_InitialSituation!H$9:H$153,MATCH($R91,B_InitialSituation!$Q$9:$Q$153,0))*$AH91)</f>
        <v>0</v>
      </c>
      <c r="AK91" s="430">
        <f>IF(AK$75&lt;=CNTR_YearMergerSplit,"",INDEX(B_InitialSituation!I$9:I$153,MATCH($R91,B_InitialSituation!$Q$9:$Q$153,0))*$AH91)</f>
        <v>0</v>
      </c>
      <c r="AL91" s="430">
        <f>IF(AL$75&lt;=CNTR_YearMergerSplit,"",INDEX(B_InitialSituation!J$9:J$153,MATCH($R91,B_InitialSituation!$Q$9:$Q$153,0))*$AH91)</f>
        <v>0</v>
      </c>
      <c r="AM91" s="430">
        <f>IF(AM$75&lt;=CNTR_YearMergerSplit,"",INDEX(B_InitialSituation!K$9:K$153,MATCH($R91,B_InitialSituation!$Q$9:$Q$153,0))*$AH91)</f>
        <v>0</v>
      </c>
      <c r="AN91" s="430">
        <f>IF(AN$75&lt;=CNTR_YearMergerSplit,"",INDEX(B_InitialSituation!L$9:L$153,MATCH($R91,B_InitialSituation!$Q$9:$Q$153,0))*$AH91)</f>
        <v>0</v>
      </c>
      <c r="AO91" s="430">
        <f>IF(AO$75&lt;=CNTR_YearMergerSplit,"",INDEX(B_InitialSituation!M$9:M$153,MATCH($R91,B_InitialSituation!$Q$9:$Q$153,0))*$AH91)</f>
        <v>0</v>
      </c>
      <c r="AP91" s="430">
        <f>IF(AP$75&lt;=CNTR_YearMergerSplit,"",INDEX(B_InitialSituation!N$9:N$153,MATCH($R91,B_InitialSituation!$Q$9:$Q$153,0))*$AH91)</f>
        <v>0</v>
      </c>
      <c r="AQ91" s="422"/>
    </row>
    <row r="92" spans="1:43" s="521" customFormat="1" ht="12.75" customHeight="1">
      <c r="A92" s="4"/>
      <c r="B92" s="5"/>
      <c r="C92" s="29">
        <v>16</v>
      </c>
      <c r="D92" s="950" t="str">
        <f t="shared" si="17"/>
        <v>Sottoimpianto con emissioni di processo, non CL</v>
      </c>
      <c r="E92" s="951"/>
      <c r="F92" s="952"/>
      <c r="G92" s="394">
        <f t="shared" si="15"/>
      </c>
      <c r="H92" s="394">
        <f t="shared" si="5"/>
      </c>
      <c r="I92" s="394">
        <f t="shared" si="6"/>
      </c>
      <c r="J92" s="394">
        <f t="shared" si="7"/>
      </c>
      <c r="K92" s="394">
        <f t="shared" si="8"/>
      </c>
      <c r="L92" s="394">
        <f t="shared" si="9"/>
      </c>
      <c r="M92" s="394">
        <f t="shared" si="10"/>
      </c>
      <c r="N92" s="394">
        <f t="shared" si="11"/>
      </c>
      <c r="O92" s="322"/>
      <c r="P92" s="9"/>
      <c r="Q92" s="450" t="str">
        <f t="shared" si="12"/>
        <v>FInitial_1_Sottoimpianto con emissioni di processo, non CL</v>
      </c>
      <c r="R92" s="450" t="str">
        <f t="shared" si="13"/>
        <v>FInitial_2_Sottoimpianto con emissioni di processo, non CL</v>
      </c>
      <c r="S92" s="422"/>
      <c r="T92" s="422"/>
      <c r="U92" s="422"/>
      <c r="V92" s="452">
        <f t="shared" si="16"/>
        <v>1</v>
      </c>
      <c r="W92" s="422"/>
      <c r="X92" s="433">
        <f>INDEX(CHOOSE($V92,C_MergerSplitTransfer!$H$9:$H$68,C_MergerSplitTransfer!$K$9:$K$68),MATCH(Q92,C_MergerSplitTransfer!$T$9:$T$68,0))</f>
        <v>0</v>
      </c>
      <c r="Y92" s="434">
        <f>IF(Y$75&lt;=CNTR_YearMergerSplit,"",INDEX(B_InitialSituation!G$9:G$153,MATCH($Q92,B_InitialSituation!$Q$9:$Q$153,0))*$X92)</f>
        <v>0</v>
      </c>
      <c r="Z92" s="434">
        <f>IF(Z$75&lt;=CNTR_YearMergerSplit,"",INDEX(B_InitialSituation!H$9:H$153,MATCH($Q92,B_InitialSituation!$Q$9:$Q$153,0))*$X92)</f>
        <v>0</v>
      </c>
      <c r="AA92" s="434">
        <f>IF(AA$75&lt;=CNTR_YearMergerSplit,"",INDEX(B_InitialSituation!I$9:I$153,MATCH($Q92,B_InitialSituation!$Q$9:$Q$153,0))*$X92)</f>
        <v>0</v>
      </c>
      <c r="AB92" s="434">
        <f>IF(AB$75&lt;=CNTR_YearMergerSplit,"",INDEX(B_InitialSituation!J$9:J$153,MATCH($Q92,B_InitialSituation!$Q$9:$Q$153,0))*$X92)</f>
        <v>0</v>
      </c>
      <c r="AC92" s="434">
        <f>IF(AC$75&lt;=CNTR_YearMergerSplit,"",INDEX(B_InitialSituation!K$9:K$153,MATCH($Q92,B_InitialSituation!$Q$9:$Q$153,0))*$X92)</f>
        <v>0</v>
      </c>
      <c r="AD92" s="434">
        <f>IF(AD$75&lt;=CNTR_YearMergerSplit,"",INDEX(B_InitialSituation!L$9:L$153,MATCH($Q92,B_InitialSituation!$Q$9:$Q$153,0))*$X92)</f>
        <v>0</v>
      </c>
      <c r="AE92" s="434">
        <f>IF(AE$75&lt;=CNTR_YearMergerSplit,"",INDEX(B_InitialSituation!M$9:M$153,MATCH($Q92,B_InitialSituation!$Q$9:$Q$153,0))*$X92)</f>
        <v>0</v>
      </c>
      <c r="AF92" s="434">
        <f>IF(AF$75&lt;=CNTR_YearMergerSplit,"",INDEX(B_InitialSituation!N$9:N$153,MATCH($Q92,B_InitialSituation!$Q$9:$Q$153,0))*$X92)</f>
        <v>0</v>
      </c>
      <c r="AG92" s="422"/>
      <c r="AH92" s="433">
        <f>INDEX(CHOOSE($V92,C_MergerSplitTransfer!$H$9:$H$68,C_MergerSplitTransfer!$K$9:$K$68),MATCH(R92,C_MergerSplitTransfer!$T$9:$T$68,0))</f>
        <v>0</v>
      </c>
      <c r="AI92" s="434">
        <f>IF(AI$75&lt;=CNTR_YearMergerSplit,"",INDEX(B_InitialSituation!G$9:G$153,MATCH($R92,B_InitialSituation!$Q$9:$Q$153,0))*$AH92)</f>
        <v>0</v>
      </c>
      <c r="AJ92" s="434">
        <f>IF(AJ$75&lt;=CNTR_YearMergerSplit,"",INDEX(B_InitialSituation!H$9:H$153,MATCH($R92,B_InitialSituation!$Q$9:$Q$153,0))*$AH92)</f>
        <v>0</v>
      </c>
      <c r="AK92" s="434">
        <f>IF(AK$75&lt;=CNTR_YearMergerSplit,"",INDEX(B_InitialSituation!I$9:I$153,MATCH($R92,B_InitialSituation!$Q$9:$Q$153,0))*$AH92)</f>
        <v>0</v>
      </c>
      <c r="AL92" s="434">
        <f>IF(AL$75&lt;=CNTR_YearMergerSplit,"",INDEX(B_InitialSituation!J$9:J$153,MATCH($R92,B_InitialSituation!$Q$9:$Q$153,0))*$AH92)</f>
        <v>0</v>
      </c>
      <c r="AM92" s="434">
        <f>IF(AM$75&lt;=CNTR_YearMergerSplit,"",INDEX(B_InitialSituation!K$9:K$153,MATCH($R92,B_InitialSituation!$Q$9:$Q$153,0))*$AH92)</f>
        <v>0</v>
      </c>
      <c r="AN92" s="434">
        <f>IF(AN$75&lt;=CNTR_YearMergerSplit,"",INDEX(B_InitialSituation!L$9:L$153,MATCH($R92,B_InitialSituation!$Q$9:$Q$153,0))*$AH92)</f>
        <v>0</v>
      </c>
      <c r="AO92" s="434">
        <f>IF(AO$75&lt;=CNTR_YearMergerSplit,"",INDEX(B_InitialSituation!M$9:M$153,MATCH($R92,B_InitialSituation!$Q$9:$Q$153,0))*$AH92)</f>
        <v>0</v>
      </c>
      <c r="AP92" s="434">
        <f>IF(AP$75&lt;=CNTR_YearMergerSplit,"",INDEX(B_InitialSituation!N$9:N$153,MATCH($R92,B_InitialSituation!$Q$9:$Q$153,0))*$AH92)</f>
        <v>0</v>
      </c>
      <c r="AQ92" s="422"/>
    </row>
    <row r="93" spans="1:43" s="521" customFormat="1" ht="12.75" customHeight="1" thickBot="1">
      <c r="A93" s="4"/>
      <c r="B93" s="5"/>
      <c r="C93" s="412">
        <v>17</v>
      </c>
      <c r="D93" s="939" t="str">
        <f>EUconst_PrivateHouseholds</f>
        <v>Utenze private</v>
      </c>
      <c r="E93" s="940"/>
      <c r="F93" s="941"/>
      <c r="G93" s="413">
        <f t="shared" si="15"/>
      </c>
      <c r="H93" s="413">
        <f t="shared" si="5"/>
      </c>
      <c r="I93" s="413">
        <f t="shared" si="6"/>
      </c>
      <c r="J93" s="413">
        <f t="shared" si="7"/>
      </c>
      <c r="K93" s="413">
        <f t="shared" si="8"/>
      </c>
      <c r="L93" s="413">
        <f t="shared" si="9"/>
      </c>
      <c r="M93" s="413">
        <f t="shared" si="10"/>
      </c>
      <c r="N93" s="413">
        <f t="shared" si="11"/>
      </c>
      <c r="O93" s="322"/>
      <c r="P93" s="9"/>
      <c r="Q93" s="450" t="str">
        <f t="shared" si="12"/>
        <v>FInitial_1_Utenze private</v>
      </c>
      <c r="R93" s="450" t="str">
        <f t="shared" si="13"/>
        <v>FInitial_2_Utenze private</v>
      </c>
      <c r="S93" s="422"/>
      <c r="T93" s="422"/>
      <c r="U93" s="422"/>
      <c r="V93" s="453">
        <f t="shared" si="16"/>
        <v>1</v>
      </c>
      <c r="W93" s="422"/>
      <c r="X93" s="435">
        <f>INDEX(CHOOSE($V93,C_MergerSplitTransfer!$H$9:$H$68,C_MergerSplitTransfer!$K$9:$K$68),MATCH(Q93,C_MergerSplitTransfer!$T$9:$T$68,0))</f>
        <v>0</v>
      </c>
      <c r="Y93" s="436">
        <f>IF(Y$75&lt;=CNTR_YearMergerSplit,"",INDEX(B_InitialSituation!G$9:G$153,MATCH($Q93,B_InitialSituation!$Q$9:$Q$153,0))*$X93)</f>
        <v>0</v>
      </c>
      <c r="Z93" s="436">
        <f>IF(Z$75&lt;=CNTR_YearMergerSplit,"",INDEX(B_InitialSituation!H$9:H$153,MATCH($Q93,B_InitialSituation!$Q$9:$Q$153,0))*$X93)</f>
        <v>0</v>
      </c>
      <c r="AA93" s="436">
        <f>IF(AA$75&lt;=CNTR_YearMergerSplit,"",INDEX(B_InitialSituation!I$9:I$153,MATCH($Q93,B_InitialSituation!$Q$9:$Q$153,0))*$X93)</f>
        <v>0</v>
      </c>
      <c r="AB93" s="436">
        <f>IF(AB$75&lt;=CNTR_YearMergerSplit,"",INDEX(B_InitialSituation!J$9:J$153,MATCH($Q93,B_InitialSituation!$Q$9:$Q$153,0))*$X93)</f>
        <v>0</v>
      </c>
      <c r="AC93" s="436">
        <f>IF(AC$75&lt;=CNTR_YearMergerSplit,"",INDEX(B_InitialSituation!K$9:K$153,MATCH($Q93,B_InitialSituation!$Q$9:$Q$153,0))*$X93)</f>
        <v>0</v>
      </c>
      <c r="AD93" s="436">
        <f>IF(AD$75&lt;=CNTR_YearMergerSplit,"",INDEX(B_InitialSituation!L$9:L$153,MATCH($Q93,B_InitialSituation!$Q$9:$Q$153,0))*$X93)</f>
        <v>0</v>
      </c>
      <c r="AE93" s="436">
        <f>IF(AE$75&lt;=CNTR_YearMergerSplit,"",INDEX(B_InitialSituation!M$9:M$153,MATCH($Q93,B_InitialSituation!$Q$9:$Q$153,0))*$X93)</f>
        <v>0</v>
      </c>
      <c r="AF93" s="436">
        <f>IF(AF$75&lt;=CNTR_YearMergerSplit,"",INDEX(B_InitialSituation!N$9:N$153,MATCH($Q93,B_InitialSituation!$Q$9:$Q$153,0))*$X93)</f>
        <v>0</v>
      </c>
      <c r="AG93" s="422"/>
      <c r="AH93" s="435">
        <f>INDEX(CHOOSE($V93,C_MergerSplitTransfer!$H$9:$H$68,C_MergerSplitTransfer!$K$9:$K$68),MATCH(R93,C_MergerSplitTransfer!$T$9:$T$68,0))</f>
        <v>0</v>
      </c>
      <c r="AI93" s="436">
        <f>IF(AI$75&lt;=CNTR_YearMergerSplit,"",INDEX(B_InitialSituation!G$9:G$153,MATCH($R93,B_InitialSituation!$Q$9:$Q$153,0))*$AH93)</f>
        <v>0</v>
      </c>
      <c r="AJ93" s="436">
        <f>IF(AJ$75&lt;=CNTR_YearMergerSplit,"",INDEX(B_InitialSituation!H$9:H$153,MATCH($R93,B_InitialSituation!$Q$9:$Q$153,0))*$AH93)</f>
        <v>0</v>
      </c>
      <c r="AK93" s="436">
        <f>IF(AK$75&lt;=CNTR_YearMergerSplit,"",INDEX(B_InitialSituation!I$9:I$153,MATCH($R93,B_InitialSituation!$Q$9:$Q$153,0))*$AH93)</f>
        <v>0</v>
      </c>
      <c r="AL93" s="436">
        <f>IF(AL$75&lt;=CNTR_YearMergerSplit,"",INDEX(B_InitialSituation!J$9:J$153,MATCH($R93,B_InitialSituation!$Q$9:$Q$153,0))*$AH93)</f>
        <v>0</v>
      </c>
      <c r="AM93" s="436">
        <f>IF(AM$75&lt;=CNTR_YearMergerSplit,"",INDEX(B_InitialSituation!K$9:K$153,MATCH($R93,B_InitialSituation!$Q$9:$Q$153,0))*$AH93)</f>
        <v>0</v>
      </c>
      <c r="AN93" s="436">
        <f>IF(AN$75&lt;=CNTR_YearMergerSplit,"",INDEX(B_InitialSituation!L$9:L$153,MATCH($R93,B_InitialSituation!$Q$9:$Q$153,0))*$AH93)</f>
        <v>0</v>
      </c>
      <c r="AO93" s="436">
        <f>IF(AO$75&lt;=CNTR_YearMergerSplit,"",INDEX(B_InitialSituation!M$9:M$153,MATCH($R93,B_InitialSituation!$Q$9:$Q$153,0))*$AH93)</f>
        <v>0</v>
      </c>
      <c r="AP93" s="436">
        <f>IF(AP$75&lt;=CNTR_YearMergerSplit,"",INDEX(B_InitialSituation!N$9:N$153,MATCH($R93,B_InitialSituation!$Q$9:$Q$153,0))*$AH93)</f>
        <v>0</v>
      </c>
      <c r="AQ93" s="422"/>
    </row>
    <row r="94" spans="1:43" s="521" customFormat="1" ht="12.75" customHeight="1">
      <c r="A94" s="4"/>
      <c r="B94" s="5"/>
      <c r="C94" s="18"/>
      <c r="D94" s="942" t="str">
        <f>EUconst_TotFreeAlloc</f>
        <v>Assegnazione totale finale a titolo gratuito</v>
      </c>
      <c r="E94" s="943"/>
      <c r="F94" s="944"/>
      <c r="G94" s="212">
        <f aca="true" t="shared" si="18" ref="G94:N94">IF(COUNT(G76:G93)&gt;0,SUM(G76:G93),"")</f>
      </c>
      <c r="H94" s="212">
        <f t="shared" si="18"/>
      </c>
      <c r="I94" s="212">
        <f t="shared" si="18"/>
      </c>
      <c r="J94" s="212">
        <f t="shared" si="18"/>
      </c>
      <c r="K94" s="212">
        <f t="shared" si="18"/>
      </c>
      <c r="L94" s="212">
        <f t="shared" si="18"/>
      </c>
      <c r="M94" s="212">
        <f t="shared" si="18"/>
      </c>
      <c r="N94" s="212">
        <f t="shared" si="18"/>
      </c>
      <c r="O94" s="322"/>
      <c r="P94" s="9"/>
      <c r="Q94" s="440"/>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row>
    <row r="95" spans="1:43" s="521" customFormat="1" ht="12.75" customHeight="1">
      <c r="A95" s="4"/>
      <c r="B95" s="5"/>
      <c r="C95" s="7"/>
      <c r="D95" s="5"/>
      <c r="E95" s="5"/>
      <c r="F95" s="5"/>
      <c r="G95" s="5"/>
      <c r="H95" s="5"/>
      <c r="I95" s="5"/>
      <c r="J95" s="5"/>
      <c r="K95" s="5"/>
      <c r="L95" s="5"/>
      <c r="M95" s="9"/>
      <c r="N95" s="9"/>
      <c r="O95" s="314"/>
      <c r="P95" s="9"/>
      <c r="Q95" s="440"/>
      <c r="R95" s="422"/>
      <c r="S95" s="422"/>
      <c r="T95" s="422"/>
      <c r="U95" s="422"/>
      <c r="V95" s="440"/>
      <c r="W95" s="422"/>
      <c r="X95" s="422"/>
      <c r="Y95" s="422"/>
      <c r="Z95" s="422"/>
      <c r="AA95" s="422"/>
      <c r="AB95" s="422"/>
      <c r="AC95" s="422"/>
      <c r="AD95" s="422"/>
      <c r="AE95" s="422"/>
      <c r="AF95" s="422"/>
      <c r="AG95" s="422"/>
      <c r="AH95" s="422"/>
      <c r="AI95" s="422"/>
      <c r="AJ95" s="422"/>
      <c r="AK95" s="422"/>
      <c r="AL95" s="422"/>
      <c r="AM95" s="422"/>
      <c r="AN95" s="422"/>
      <c r="AO95" s="422"/>
      <c r="AP95" s="422"/>
      <c r="AQ95" s="422"/>
    </row>
    <row r="96" spans="1:43" s="521" customFormat="1" ht="15" customHeight="1">
      <c r="A96" s="4"/>
      <c r="B96" s="18"/>
      <c r="C96" s="336"/>
      <c r="D96" s="973" t="str">
        <f>Translations!$B$1571</f>
        <v>Nuova capacità installata iniziale e livello di attività annuale</v>
      </c>
      <c r="E96" s="997"/>
      <c r="F96" s="997"/>
      <c r="G96" s="997"/>
      <c r="H96" s="997"/>
      <c r="I96" s="997"/>
      <c r="J96" s="997"/>
      <c r="K96" s="997"/>
      <c r="L96" s="997"/>
      <c r="M96" s="997"/>
      <c r="N96" s="997"/>
      <c r="O96" s="18"/>
      <c r="P96" s="18"/>
      <c r="Q96" s="439"/>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row>
    <row r="97" spans="1:43" s="521" customFormat="1" ht="4.5" customHeight="1">
      <c r="A97" s="4"/>
      <c r="B97" s="5"/>
      <c r="C97" s="5"/>
      <c r="D97" s="5"/>
      <c r="E97" s="5"/>
      <c r="F97" s="5"/>
      <c r="G97" s="5"/>
      <c r="H97" s="5"/>
      <c r="I97" s="5"/>
      <c r="J97" s="5"/>
      <c r="K97" s="5"/>
      <c r="L97" s="5"/>
      <c r="M97" s="9"/>
      <c r="N97" s="9"/>
      <c r="O97" s="9"/>
      <c r="P97" s="9"/>
      <c r="Q97" s="440"/>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row>
    <row r="98" spans="1:43" s="525" customFormat="1" ht="38.25" customHeight="1" thickBot="1">
      <c r="A98" s="395"/>
      <c r="B98" s="371"/>
      <c r="C98" s="396"/>
      <c r="D98" s="957" t="str">
        <f>Translations!$B$440</f>
        <v>Sottoimpianto</v>
      </c>
      <c r="E98" s="958"/>
      <c r="F98" s="958"/>
      <c r="G98" s="959"/>
      <c r="H98" s="66" t="str">
        <f>EUconst_Unit</f>
        <v>Unità</v>
      </c>
      <c r="I98" s="66" t="str">
        <f>Translations!$B$1030</f>
        <v>Capacità installata iniziale</v>
      </c>
      <c r="J98" s="397" t="str">
        <f>Translations!$B$1187</f>
        <v>Livello di attività annuale iniziale </v>
      </c>
      <c r="K98" s="5"/>
      <c r="L98" s="322"/>
      <c r="M98" s="322"/>
      <c r="N98" s="322"/>
      <c r="O98" s="398"/>
      <c r="P98" s="399"/>
      <c r="Q98" s="454"/>
      <c r="R98" s="454"/>
      <c r="S98" s="454"/>
      <c r="T98" s="454"/>
      <c r="U98" s="454"/>
      <c r="V98" s="448" t="s">
        <v>545</v>
      </c>
      <c r="W98" s="454"/>
      <c r="X98" s="437" t="str">
        <f>Translations!$B$1030</f>
        <v>Capacità installata iniziale</v>
      </c>
      <c r="Y98" s="438" t="str">
        <f>Translations!$B$1187</f>
        <v>Livello di attività annuale iniziale </v>
      </c>
      <c r="Z98" s="422"/>
      <c r="AA98" s="119" t="s">
        <v>535</v>
      </c>
      <c r="AB98" s="119" t="s">
        <v>532</v>
      </c>
      <c r="AC98" s="10" t="s">
        <v>536</v>
      </c>
      <c r="AD98" s="440" t="s">
        <v>568</v>
      </c>
      <c r="AE98" s="440" t="str">
        <f>EUconst_Unit</f>
        <v>Unità</v>
      </c>
      <c r="AF98" s="440" t="str">
        <f>EUconst_Unit</f>
        <v>Unità</v>
      </c>
      <c r="AG98" s="455"/>
      <c r="AH98" s="458" t="str">
        <f>Translations!$B$1030</f>
        <v>Capacità installata iniziale</v>
      </c>
      <c r="AI98" s="438" t="str">
        <f>Translations!$B$1187</f>
        <v>Livello di attività annuale iniziale </v>
      </c>
      <c r="AJ98" s="455"/>
      <c r="AK98" s="455"/>
      <c r="AL98" s="455"/>
      <c r="AM98" s="455"/>
      <c r="AN98" s="455"/>
      <c r="AO98" s="455"/>
      <c r="AP98" s="455"/>
      <c r="AQ98" s="455"/>
    </row>
    <row r="99" spans="1:43" s="521" customFormat="1" ht="12.75" customHeight="1">
      <c r="A99" s="4"/>
      <c r="B99" s="5"/>
      <c r="C99" s="29">
        <v>1</v>
      </c>
      <c r="D99" s="960">
        <f aca="true" t="shared" si="19" ref="D99:D108">IF(D77="","",D77)</f>
      </c>
      <c r="E99" s="961"/>
      <c r="F99" s="961"/>
      <c r="G99" s="962"/>
      <c r="H99" s="65">
        <f aca="true" t="shared" si="20" ref="H99:H108">IF(D99&lt;&gt;"",INDEX(EUconst_BMlistUnits,MATCH($D99,EUconst_BMlistNames,0))&amp;" / "&amp;EUconst_Year,"")</f>
      </c>
      <c r="I99" s="484">
        <f>IF(X99=0,"",ROUND(X99,0))</f>
      </c>
      <c r="J99" s="484">
        <f aca="true" t="shared" si="21" ref="J99:J114">IF(Y99=0,"",ROUND(Y99,0))</f>
      </c>
      <c r="K99" s="5"/>
      <c r="L99" s="322"/>
      <c r="M99" s="322"/>
      <c r="N99" s="322"/>
      <c r="O99" s="322"/>
      <c r="P99" s="480"/>
      <c r="Q99" s="450" t="str">
        <f aca="true" t="shared" si="22" ref="Q99:Q114">EUconst_CNTR_CAPINI&amp;$D99</f>
        <v>CAPINI_</v>
      </c>
      <c r="R99" s="454"/>
      <c r="S99" s="440"/>
      <c r="T99" s="440"/>
      <c r="U99" s="440"/>
      <c r="V99" s="451">
        <f>V93</f>
        <v>1</v>
      </c>
      <c r="W99" s="440"/>
      <c r="X99" s="459">
        <f>SUMIF(C_MergerSplitTransfer!$U$9:$U$68,$Q99,CHOOSE($V99,C_MergerSplitTransfer!I$9:I$68,C_MergerSplitTransfer!L$9:L$68))</f>
        <v>0</v>
      </c>
      <c r="Y99" s="459">
        <f>SUMIF(C_MergerSplitTransfer!$U$9:$U$68,$Q99,CHOOSE($V99,C_MergerSplitTransfer!J$9:J$68,C_MergerSplitTransfer!M$9:M$68))</f>
        <v>0</v>
      </c>
      <c r="Z99" s="422"/>
      <c r="AA99" s="450">
        <f aca="true" t="shared" si="23" ref="AA99:AA108">IF(D99="","",INDEX(EUconst_BMlistCLstatus,MATCH(D99,EUconst_BMlistNames,0)))</f>
      </c>
      <c r="AB99" s="450">
        <f aca="true" t="shared" si="24" ref="AB99:AB108">IF(D99="","",INDEX(EUconst_BMlistNumberOfBM,MATCH(D99,EUconst_BMlistNames,0)))</f>
      </c>
      <c r="AC99" s="450">
        <f aca="true" t="shared" si="25" ref="AC99:AC108">IF(D99="","",INDEX(EUconst_BMlistBMvalues,MATCH(D99,EUconst_BMlistNames,0)))</f>
      </c>
      <c r="AD99" s="450">
        <f aca="true" t="shared" si="26" ref="AD99:AD108">IF(D99="","",EUconst_EUA&amp;" / "&amp;AE99)</f>
      </c>
      <c r="AE99" s="450">
        <f aca="true" t="shared" si="27" ref="AE99:AE108">IF(D99="","",INDEX(EUconst_BMlistUnits,MATCH(D99,EUconst_BMlistNames,0)))</f>
      </c>
      <c r="AF99" s="450">
        <f aca="true" t="shared" si="28" ref="AF99:AF108">IF(D99="","",INDEX(EUconst_BMlistUnits,MATCH(D99,EUconst_BMlistNames,0))&amp;" / "&amp;EUconst_Year)</f>
      </c>
      <c r="AG99" s="422"/>
      <c r="AH99" s="422"/>
      <c r="AI99" s="422"/>
      <c r="AJ99" s="422"/>
      <c r="AK99" s="422"/>
      <c r="AL99" s="422"/>
      <c r="AM99" s="422"/>
      <c r="AN99" s="422"/>
      <c r="AO99" s="422"/>
      <c r="AP99" s="422"/>
      <c r="AQ99" s="422"/>
    </row>
    <row r="100" spans="1:43" s="521" customFormat="1" ht="12.75" customHeight="1">
      <c r="A100" s="4"/>
      <c r="B100" s="5"/>
      <c r="C100" s="29">
        <v>2</v>
      </c>
      <c r="D100" s="933">
        <f t="shared" si="19"/>
      </c>
      <c r="E100" s="934"/>
      <c r="F100" s="934"/>
      <c r="G100" s="935"/>
      <c r="H100" s="64">
        <f t="shared" si="20"/>
      </c>
      <c r="I100" s="485">
        <f aca="true" t="shared" si="29" ref="I100:I114">IF(X100=0,"",ROUND(X100,0))</f>
      </c>
      <c r="J100" s="485">
        <f t="shared" si="21"/>
      </c>
      <c r="K100" s="5"/>
      <c r="L100" s="322"/>
      <c r="M100" s="322"/>
      <c r="N100" s="322"/>
      <c r="O100" s="322"/>
      <c r="P100" s="320"/>
      <c r="Q100" s="450" t="str">
        <f t="shared" si="22"/>
        <v>CAPINI_</v>
      </c>
      <c r="R100" s="454"/>
      <c r="S100" s="440"/>
      <c r="T100" s="440"/>
      <c r="U100" s="440"/>
      <c r="V100" s="452">
        <f aca="true" t="shared" si="30" ref="V100:V114">V99</f>
        <v>1</v>
      </c>
      <c r="W100" s="440"/>
      <c r="X100" s="459">
        <f>SUMIF(C_MergerSplitTransfer!$U$9:$U$68,$Q100,CHOOSE($V100,C_MergerSplitTransfer!I$9:I$68,C_MergerSplitTransfer!L$9:L$68))</f>
        <v>0</v>
      </c>
      <c r="Y100" s="459">
        <f>SUMIF(C_MergerSplitTransfer!$U$9:$U$68,$Q100,CHOOSE($V100,C_MergerSplitTransfer!J$9:J$68,C_MergerSplitTransfer!M$9:M$68))</f>
        <v>0</v>
      </c>
      <c r="Z100" s="422"/>
      <c r="AA100" s="450">
        <f t="shared" si="23"/>
      </c>
      <c r="AB100" s="450">
        <f t="shared" si="24"/>
      </c>
      <c r="AC100" s="450">
        <f t="shared" si="25"/>
      </c>
      <c r="AD100" s="450">
        <f t="shared" si="26"/>
      </c>
      <c r="AE100" s="450">
        <f t="shared" si="27"/>
      </c>
      <c r="AF100" s="450">
        <f t="shared" si="28"/>
      </c>
      <c r="AG100" s="422"/>
      <c r="AH100" s="422"/>
      <c r="AI100" s="422"/>
      <c r="AJ100" s="422"/>
      <c r="AK100" s="422"/>
      <c r="AL100" s="422"/>
      <c r="AM100" s="422"/>
      <c r="AN100" s="422"/>
      <c r="AO100" s="422"/>
      <c r="AP100" s="422"/>
      <c r="AQ100" s="422"/>
    </row>
    <row r="101" spans="1:43" s="521" customFormat="1" ht="12.75" customHeight="1">
      <c r="A101" s="4"/>
      <c r="B101" s="5"/>
      <c r="C101" s="29">
        <v>3</v>
      </c>
      <c r="D101" s="933">
        <f t="shared" si="19"/>
      </c>
      <c r="E101" s="934"/>
      <c r="F101" s="934"/>
      <c r="G101" s="935"/>
      <c r="H101" s="64">
        <f t="shared" si="20"/>
      </c>
      <c r="I101" s="485">
        <f t="shared" si="29"/>
      </c>
      <c r="J101" s="485">
        <f t="shared" si="21"/>
      </c>
      <c r="K101" s="5"/>
      <c r="L101" s="322"/>
      <c r="M101" s="322"/>
      <c r="N101" s="322"/>
      <c r="O101" s="322"/>
      <c r="P101" s="320"/>
      <c r="Q101" s="450" t="str">
        <f t="shared" si="22"/>
        <v>CAPINI_</v>
      </c>
      <c r="R101" s="454"/>
      <c r="S101" s="440"/>
      <c r="T101" s="440"/>
      <c r="U101" s="440"/>
      <c r="V101" s="452">
        <f t="shared" si="30"/>
        <v>1</v>
      </c>
      <c r="W101" s="440"/>
      <c r="X101" s="459">
        <f>SUMIF(C_MergerSplitTransfer!$U$9:$U$68,$Q101,CHOOSE($V101,C_MergerSplitTransfer!I$9:I$68,C_MergerSplitTransfer!L$9:L$68))</f>
        <v>0</v>
      </c>
      <c r="Y101" s="459">
        <f>SUMIF(C_MergerSplitTransfer!$U$9:$U$68,$Q101,CHOOSE($V101,C_MergerSplitTransfer!J$9:J$68,C_MergerSplitTransfer!M$9:M$68))</f>
        <v>0</v>
      </c>
      <c r="Z101" s="422"/>
      <c r="AA101" s="450">
        <f t="shared" si="23"/>
      </c>
      <c r="AB101" s="450">
        <f t="shared" si="24"/>
      </c>
      <c r="AC101" s="450">
        <f t="shared" si="25"/>
      </c>
      <c r="AD101" s="450">
        <f t="shared" si="26"/>
      </c>
      <c r="AE101" s="450">
        <f t="shared" si="27"/>
      </c>
      <c r="AF101" s="450">
        <f t="shared" si="28"/>
      </c>
      <c r="AG101" s="422"/>
      <c r="AH101" s="422"/>
      <c r="AI101" s="422"/>
      <c r="AJ101" s="422"/>
      <c r="AK101" s="422"/>
      <c r="AL101" s="422"/>
      <c r="AM101" s="422"/>
      <c r="AN101" s="422"/>
      <c r="AO101" s="422"/>
      <c r="AP101" s="422"/>
      <c r="AQ101" s="422"/>
    </row>
    <row r="102" spans="1:43" s="521" customFormat="1" ht="12.75" customHeight="1">
      <c r="A102" s="4"/>
      <c r="B102" s="5"/>
      <c r="C102" s="29">
        <v>4</v>
      </c>
      <c r="D102" s="933">
        <f t="shared" si="19"/>
      </c>
      <c r="E102" s="934"/>
      <c r="F102" s="934"/>
      <c r="G102" s="935"/>
      <c r="H102" s="64">
        <f t="shared" si="20"/>
      </c>
      <c r="I102" s="485">
        <f t="shared" si="29"/>
      </c>
      <c r="J102" s="485">
        <f t="shared" si="21"/>
      </c>
      <c r="K102" s="5"/>
      <c r="L102" s="322"/>
      <c r="M102" s="322"/>
      <c r="N102" s="322"/>
      <c r="O102" s="322"/>
      <c r="P102" s="320"/>
      <c r="Q102" s="450" t="str">
        <f t="shared" si="22"/>
        <v>CAPINI_</v>
      </c>
      <c r="R102" s="454"/>
      <c r="S102" s="440"/>
      <c r="T102" s="440"/>
      <c r="U102" s="440"/>
      <c r="V102" s="452">
        <f t="shared" si="30"/>
        <v>1</v>
      </c>
      <c r="W102" s="440"/>
      <c r="X102" s="459">
        <f>SUMIF(C_MergerSplitTransfer!$U$9:$U$68,$Q102,CHOOSE($V102,C_MergerSplitTransfer!I$9:I$68,C_MergerSplitTransfer!L$9:L$68))</f>
        <v>0</v>
      </c>
      <c r="Y102" s="459">
        <f>SUMIF(C_MergerSplitTransfer!$U$9:$U$68,$Q102,CHOOSE($V102,C_MergerSplitTransfer!J$9:J$68,C_MergerSplitTransfer!M$9:M$68))</f>
        <v>0</v>
      </c>
      <c r="Z102" s="422"/>
      <c r="AA102" s="450">
        <f t="shared" si="23"/>
      </c>
      <c r="AB102" s="450">
        <f t="shared" si="24"/>
      </c>
      <c r="AC102" s="450">
        <f t="shared" si="25"/>
      </c>
      <c r="AD102" s="450">
        <f t="shared" si="26"/>
      </c>
      <c r="AE102" s="450">
        <f t="shared" si="27"/>
      </c>
      <c r="AF102" s="450">
        <f t="shared" si="28"/>
      </c>
      <c r="AG102" s="422"/>
      <c r="AH102" s="422"/>
      <c r="AI102" s="422"/>
      <c r="AJ102" s="422"/>
      <c r="AK102" s="422"/>
      <c r="AL102" s="422"/>
      <c r="AM102" s="422"/>
      <c r="AN102" s="422"/>
      <c r="AO102" s="422"/>
      <c r="AP102" s="422"/>
      <c r="AQ102" s="422"/>
    </row>
    <row r="103" spans="1:43" s="521" customFormat="1" ht="12.75" customHeight="1">
      <c r="A103" s="4"/>
      <c r="B103" s="5"/>
      <c r="C103" s="29">
        <v>5</v>
      </c>
      <c r="D103" s="933">
        <f t="shared" si="19"/>
      </c>
      <c r="E103" s="934"/>
      <c r="F103" s="934"/>
      <c r="G103" s="935"/>
      <c r="H103" s="64">
        <f t="shared" si="20"/>
      </c>
      <c r="I103" s="485">
        <f t="shared" si="29"/>
      </c>
      <c r="J103" s="485">
        <f t="shared" si="21"/>
      </c>
      <c r="K103" s="5"/>
      <c r="L103" s="322"/>
      <c r="M103" s="322"/>
      <c r="N103" s="377"/>
      <c r="O103" s="322"/>
      <c r="P103" s="320"/>
      <c r="Q103" s="450" t="str">
        <f t="shared" si="22"/>
        <v>CAPINI_</v>
      </c>
      <c r="R103" s="454"/>
      <c r="S103" s="440"/>
      <c r="T103" s="440"/>
      <c r="U103" s="440"/>
      <c r="V103" s="452">
        <f t="shared" si="30"/>
        <v>1</v>
      </c>
      <c r="W103" s="440"/>
      <c r="X103" s="459">
        <f>SUMIF(C_MergerSplitTransfer!$U$9:$U$68,$Q103,CHOOSE($V103,C_MergerSplitTransfer!I$9:I$68,C_MergerSplitTransfer!L$9:L$68))</f>
        <v>0</v>
      </c>
      <c r="Y103" s="459">
        <f>SUMIF(C_MergerSplitTransfer!$U$9:$U$68,$Q103,CHOOSE($V103,C_MergerSplitTransfer!J$9:J$68,C_MergerSplitTransfer!M$9:M$68))</f>
        <v>0</v>
      </c>
      <c r="Z103" s="422"/>
      <c r="AA103" s="450">
        <f t="shared" si="23"/>
      </c>
      <c r="AB103" s="450">
        <f t="shared" si="24"/>
      </c>
      <c r="AC103" s="450">
        <f t="shared" si="25"/>
      </c>
      <c r="AD103" s="450">
        <f t="shared" si="26"/>
      </c>
      <c r="AE103" s="450">
        <f t="shared" si="27"/>
      </c>
      <c r="AF103" s="450">
        <f t="shared" si="28"/>
      </c>
      <c r="AG103" s="422"/>
      <c r="AH103" s="422"/>
      <c r="AI103" s="422"/>
      <c r="AJ103" s="422"/>
      <c r="AK103" s="422"/>
      <c r="AL103" s="422"/>
      <c r="AM103" s="422"/>
      <c r="AN103" s="422"/>
      <c r="AO103" s="422"/>
      <c r="AP103" s="422"/>
      <c r="AQ103" s="422"/>
    </row>
    <row r="104" spans="1:43" s="521" customFormat="1" ht="12.75" customHeight="1">
      <c r="A104" s="4"/>
      <c r="B104" s="5"/>
      <c r="C104" s="29">
        <v>6</v>
      </c>
      <c r="D104" s="933">
        <f t="shared" si="19"/>
      </c>
      <c r="E104" s="934"/>
      <c r="F104" s="934"/>
      <c r="G104" s="935"/>
      <c r="H104" s="64">
        <f t="shared" si="20"/>
      </c>
      <c r="I104" s="485">
        <f t="shared" si="29"/>
      </c>
      <c r="J104" s="485">
        <f t="shared" si="21"/>
      </c>
      <c r="K104" s="5"/>
      <c r="L104" s="322"/>
      <c r="M104" s="322"/>
      <c r="N104" s="322"/>
      <c r="O104" s="322"/>
      <c r="P104" s="9"/>
      <c r="Q104" s="450" t="str">
        <f t="shared" si="22"/>
        <v>CAPINI_</v>
      </c>
      <c r="R104" s="454"/>
      <c r="S104" s="440"/>
      <c r="T104" s="440"/>
      <c r="U104" s="440"/>
      <c r="V104" s="452">
        <f t="shared" si="30"/>
        <v>1</v>
      </c>
      <c r="W104" s="440"/>
      <c r="X104" s="459">
        <f>SUMIF(C_MergerSplitTransfer!$U$9:$U$68,$Q104,CHOOSE($V104,C_MergerSplitTransfer!I$9:I$68,C_MergerSplitTransfer!L$9:L$68))</f>
        <v>0</v>
      </c>
      <c r="Y104" s="459">
        <f>SUMIF(C_MergerSplitTransfer!$U$9:$U$68,$Q104,CHOOSE($V104,C_MergerSplitTransfer!J$9:J$68,C_MergerSplitTransfer!M$9:M$68))</f>
        <v>0</v>
      </c>
      <c r="Z104" s="422"/>
      <c r="AA104" s="450">
        <f t="shared" si="23"/>
      </c>
      <c r="AB104" s="450">
        <f t="shared" si="24"/>
      </c>
      <c r="AC104" s="450">
        <f t="shared" si="25"/>
      </c>
      <c r="AD104" s="450">
        <f t="shared" si="26"/>
      </c>
      <c r="AE104" s="450">
        <f t="shared" si="27"/>
      </c>
      <c r="AF104" s="450">
        <f t="shared" si="28"/>
      </c>
      <c r="AG104" s="422"/>
      <c r="AH104" s="422"/>
      <c r="AI104" s="422"/>
      <c r="AJ104" s="422"/>
      <c r="AK104" s="422"/>
      <c r="AL104" s="422"/>
      <c r="AM104" s="422"/>
      <c r="AN104" s="422"/>
      <c r="AO104" s="422"/>
      <c r="AP104" s="422"/>
      <c r="AQ104" s="422"/>
    </row>
    <row r="105" spans="1:43" s="521" customFormat="1" ht="12.75" customHeight="1">
      <c r="A105" s="4"/>
      <c r="B105" s="5"/>
      <c r="C105" s="29">
        <v>7</v>
      </c>
      <c r="D105" s="933">
        <f t="shared" si="19"/>
      </c>
      <c r="E105" s="934"/>
      <c r="F105" s="934"/>
      <c r="G105" s="935"/>
      <c r="H105" s="64">
        <f t="shared" si="20"/>
      </c>
      <c r="I105" s="485">
        <f t="shared" si="29"/>
      </c>
      <c r="J105" s="485">
        <f t="shared" si="21"/>
      </c>
      <c r="K105" s="5"/>
      <c r="L105" s="322"/>
      <c r="M105" s="322"/>
      <c r="N105" s="322"/>
      <c r="O105" s="322"/>
      <c r="P105" s="9"/>
      <c r="Q105" s="450" t="str">
        <f t="shared" si="22"/>
        <v>CAPINI_</v>
      </c>
      <c r="R105" s="454"/>
      <c r="S105" s="440"/>
      <c r="T105" s="440"/>
      <c r="U105" s="440"/>
      <c r="V105" s="452">
        <f t="shared" si="30"/>
        <v>1</v>
      </c>
      <c r="W105" s="440"/>
      <c r="X105" s="459">
        <f>SUMIF(C_MergerSplitTransfer!$U$9:$U$68,$Q105,CHOOSE($V105,C_MergerSplitTransfer!I$9:I$68,C_MergerSplitTransfer!L$9:L$68))</f>
        <v>0</v>
      </c>
      <c r="Y105" s="459">
        <f>SUMIF(C_MergerSplitTransfer!$U$9:$U$68,$Q105,CHOOSE($V105,C_MergerSplitTransfer!J$9:J$68,C_MergerSplitTransfer!M$9:M$68))</f>
        <v>0</v>
      </c>
      <c r="Z105" s="422"/>
      <c r="AA105" s="450">
        <f t="shared" si="23"/>
      </c>
      <c r="AB105" s="450">
        <f t="shared" si="24"/>
      </c>
      <c r="AC105" s="450">
        <f t="shared" si="25"/>
      </c>
      <c r="AD105" s="450">
        <f t="shared" si="26"/>
      </c>
      <c r="AE105" s="450">
        <f t="shared" si="27"/>
      </c>
      <c r="AF105" s="450">
        <f t="shared" si="28"/>
      </c>
      <c r="AG105" s="422"/>
      <c r="AH105" s="422"/>
      <c r="AI105" s="422"/>
      <c r="AJ105" s="422"/>
      <c r="AK105" s="422"/>
      <c r="AL105" s="422"/>
      <c r="AM105" s="422"/>
      <c r="AN105" s="422"/>
      <c r="AO105" s="422"/>
      <c r="AP105" s="422"/>
      <c r="AQ105" s="422"/>
    </row>
    <row r="106" spans="1:43" s="521" customFormat="1" ht="12.75" customHeight="1">
      <c r="A106" s="4"/>
      <c r="B106" s="5"/>
      <c r="C106" s="29">
        <v>8</v>
      </c>
      <c r="D106" s="933">
        <f t="shared" si="19"/>
      </c>
      <c r="E106" s="934"/>
      <c r="F106" s="934"/>
      <c r="G106" s="935"/>
      <c r="H106" s="64">
        <f t="shared" si="20"/>
      </c>
      <c r="I106" s="485">
        <f t="shared" si="29"/>
      </c>
      <c r="J106" s="485">
        <f t="shared" si="21"/>
      </c>
      <c r="K106" s="5"/>
      <c r="L106" s="322"/>
      <c r="M106" s="322"/>
      <c r="N106" s="322"/>
      <c r="O106" s="322"/>
      <c r="P106" s="9"/>
      <c r="Q106" s="450" t="str">
        <f t="shared" si="22"/>
        <v>CAPINI_</v>
      </c>
      <c r="R106" s="454"/>
      <c r="S106" s="440"/>
      <c r="T106" s="440"/>
      <c r="U106" s="440"/>
      <c r="V106" s="452">
        <f t="shared" si="30"/>
        <v>1</v>
      </c>
      <c r="W106" s="440"/>
      <c r="X106" s="459">
        <f>SUMIF(C_MergerSplitTransfer!$U$9:$U$68,$Q106,CHOOSE($V106,C_MergerSplitTransfer!I$9:I$68,C_MergerSplitTransfer!L$9:L$68))</f>
        <v>0</v>
      </c>
      <c r="Y106" s="459">
        <f>SUMIF(C_MergerSplitTransfer!$U$9:$U$68,$Q106,CHOOSE($V106,C_MergerSplitTransfer!J$9:J$68,C_MergerSplitTransfer!M$9:M$68))</f>
        <v>0</v>
      </c>
      <c r="Z106" s="422"/>
      <c r="AA106" s="450">
        <f t="shared" si="23"/>
      </c>
      <c r="AB106" s="450">
        <f t="shared" si="24"/>
      </c>
      <c r="AC106" s="450">
        <f t="shared" si="25"/>
      </c>
      <c r="AD106" s="450">
        <f t="shared" si="26"/>
      </c>
      <c r="AE106" s="450">
        <f t="shared" si="27"/>
      </c>
      <c r="AF106" s="450">
        <f t="shared" si="28"/>
      </c>
      <c r="AG106" s="422"/>
      <c r="AH106" s="422"/>
      <c r="AI106" s="422"/>
      <c r="AJ106" s="422"/>
      <c r="AK106" s="422"/>
      <c r="AL106" s="422"/>
      <c r="AM106" s="422"/>
      <c r="AN106" s="422"/>
      <c r="AO106" s="422"/>
      <c r="AP106" s="422"/>
      <c r="AQ106" s="422"/>
    </row>
    <row r="107" spans="1:43" s="521" customFormat="1" ht="12.75" customHeight="1">
      <c r="A107" s="4"/>
      <c r="B107" s="5"/>
      <c r="C107" s="29">
        <v>9</v>
      </c>
      <c r="D107" s="933">
        <f t="shared" si="19"/>
      </c>
      <c r="E107" s="934"/>
      <c r="F107" s="934"/>
      <c r="G107" s="935"/>
      <c r="H107" s="64">
        <f t="shared" si="20"/>
      </c>
      <c r="I107" s="485">
        <f t="shared" si="29"/>
      </c>
      <c r="J107" s="485">
        <f t="shared" si="21"/>
      </c>
      <c r="K107" s="5"/>
      <c r="L107" s="322"/>
      <c r="M107" s="322"/>
      <c r="N107" s="322"/>
      <c r="O107" s="322"/>
      <c r="P107" s="9"/>
      <c r="Q107" s="450" t="str">
        <f t="shared" si="22"/>
        <v>CAPINI_</v>
      </c>
      <c r="R107" s="454"/>
      <c r="S107" s="440"/>
      <c r="T107" s="440"/>
      <c r="U107" s="440"/>
      <c r="V107" s="452">
        <f t="shared" si="30"/>
        <v>1</v>
      </c>
      <c r="W107" s="440"/>
      <c r="X107" s="459">
        <f>SUMIF(C_MergerSplitTransfer!$U$9:$U$68,$Q107,CHOOSE($V107,C_MergerSplitTransfer!I$9:I$68,C_MergerSplitTransfer!L$9:L$68))</f>
        <v>0</v>
      </c>
      <c r="Y107" s="459">
        <f>SUMIF(C_MergerSplitTransfer!$U$9:$U$68,$Q107,CHOOSE($V107,C_MergerSplitTransfer!J$9:J$68,C_MergerSplitTransfer!M$9:M$68))</f>
        <v>0</v>
      </c>
      <c r="Z107" s="422"/>
      <c r="AA107" s="450">
        <f t="shared" si="23"/>
      </c>
      <c r="AB107" s="450">
        <f t="shared" si="24"/>
      </c>
      <c r="AC107" s="450">
        <f t="shared" si="25"/>
      </c>
      <c r="AD107" s="450">
        <f t="shared" si="26"/>
      </c>
      <c r="AE107" s="450">
        <f t="shared" si="27"/>
      </c>
      <c r="AF107" s="450">
        <f t="shared" si="28"/>
      </c>
      <c r="AG107" s="422"/>
      <c r="AH107" s="422"/>
      <c r="AI107" s="422"/>
      <c r="AJ107" s="422"/>
      <c r="AK107" s="422"/>
      <c r="AL107" s="422"/>
      <c r="AM107" s="422"/>
      <c r="AN107" s="422"/>
      <c r="AO107" s="422"/>
      <c r="AP107" s="422"/>
      <c r="AQ107" s="422"/>
    </row>
    <row r="108" spans="1:43" s="521" customFormat="1" ht="12.75" customHeight="1">
      <c r="A108" s="4"/>
      <c r="B108" s="5"/>
      <c r="C108" s="25">
        <v>10</v>
      </c>
      <c r="D108" s="953">
        <f t="shared" si="19"/>
      </c>
      <c r="E108" s="954"/>
      <c r="F108" s="954"/>
      <c r="G108" s="955"/>
      <c r="H108" s="63">
        <f t="shared" si="20"/>
      </c>
      <c r="I108" s="486">
        <f t="shared" si="29"/>
      </c>
      <c r="J108" s="486">
        <f t="shared" si="21"/>
      </c>
      <c r="K108" s="5"/>
      <c r="L108" s="322"/>
      <c r="M108" s="322"/>
      <c r="N108" s="322"/>
      <c r="O108" s="322"/>
      <c r="P108" s="9"/>
      <c r="Q108" s="450" t="str">
        <f t="shared" si="22"/>
        <v>CAPINI_</v>
      </c>
      <c r="R108" s="454"/>
      <c r="S108" s="440"/>
      <c r="T108" s="440"/>
      <c r="U108" s="440"/>
      <c r="V108" s="452">
        <f t="shared" si="30"/>
        <v>1</v>
      </c>
      <c r="W108" s="440"/>
      <c r="X108" s="459">
        <f>SUMIF(C_MergerSplitTransfer!$U$9:$U$68,$Q108,CHOOSE($V108,C_MergerSplitTransfer!I$9:I$68,C_MergerSplitTransfer!L$9:L$68))</f>
        <v>0</v>
      </c>
      <c r="Y108" s="459">
        <f>SUMIF(C_MergerSplitTransfer!$U$9:$U$68,$Q108,CHOOSE($V108,C_MergerSplitTransfer!J$9:J$68,C_MergerSplitTransfer!M$9:M$68))</f>
        <v>0</v>
      </c>
      <c r="Z108" s="422"/>
      <c r="AA108" s="450">
        <f t="shared" si="23"/>
      </c>
      <c r="AB108" s="450">
        <f t="shared" si="24"/>
      </c>
      <c r="AC108" s="450">
        <f t="shared" si="25"/>
      </c>
      <c r="AD108" s="450">
        <f t="shared" si="26"/>
      </c>
      <c r="AE108" s="450">
        <f t="shared" si="27"/>
      </c>
      <c r="AF108" s="450">
        <f t="shared" si="28"/>
      </c>
      <c r="AG108" s="422"/>
      <c r="AH108" s="422"/>
      <c r="AI108" s="422"/>
      <c r="AJ108" s="422"/>
      <c r="AK108" s="422"/>
      <c r="AL108" s="422"/>
      <c r="AM108" s="422"/>
      <c r="AN108" s="422"/>
      <c r="AO108" s="422"/>
      <c r="AP108" s="422"/>
      <c r="AQ108" s="422"/>
    </row>
    <row r="109" spans="1:43" s="521" customFormat="1" ht="12.75" customHeight="1">
      <c r="A109" s="4"/>
      <c r="B109" s="5"/>
      <c r="C109" s="29">
        <v>11</v>
      </c>
      <c r="D109" s="936" t="str">
        <f aca="true" t="shared" si="31" ref="D109:D114">INDEX(EUconst_FallBackListNames,C109-10)</f>
        <v>Sottoimpianto oggetto di un parametro di riferimento relativo al calore, CL</v>
      </c>
      <c r="E109" s="937"/>
      <c r="F109" s="937"/>
      <c r="G109" s="938"/>
      <c r="H109" s="65" t="str">
        <f aca="true" t="shared" si="32" ref="H109:H114">IF(D109&lt;&gt;"",INDEX(EUconst_FallBackListUnits,MATCH($D109,EUconst_FallBackListNames,0))&amp;" / "&amp;EUconst_Year,"")</f>
        <v>TJ / anno</v>
      </c>
      <c r="I109" s="484">
        <f t="shared" si="29"/>
      </c>
      <c r="J109" s="484">
        <f t="shared" si="21"/>
      </c>
      <c r="K109" s="5"/>
      <c r="L109" s="322"/>
      <c r="M109" s="322"/>
      <c r="N109" s="322"/>
      <c r="O109" s="322"/>
      <c r="P109" s="9"/>
      <c r="Q109" s="450" t="str">
        <f t="shared" si="22"/>
        <v>CAPINI_Sottoimpianto oggetto di un parametro di riferimento relativo al calore, CL</v>
      </c>
      <c r="R109" s="454"/>
      <c r="S109" s="440"/>
      <c r="T109" s="440"/>
      <c r="U109" s="440"/>
      <c r="V109" s="452">
        <f t="shared" si="30"/>
        <v>1</v>
      </c>
      <c r="W109" s="440"/>
      <c r="X109" s="459">
        <f>SUMIF(C_MergerSplitTransfer!$U$9:$U$68,$Q109,CHOOSE($V109,C_MergerSplitTransfer!I$9:I$68,C_MergerSplitTransfer!L$9:L$68))</f>
        <v>0</v>
      </c>
      <c r="Y109" s="459">
        <f>SUMIF(C_MergerSplitTransfer!$U$9:$U$68,$Q109,CHOOSE($V109,C_MergerSplitTransfer!J$9:J$68,C_MergerSplitTransfer!M$9:M$68))</f>
        <v>0</v>
      </c>
      <c r="Z109" s="422"/>
      <c r="AA109" s="450" t="b">
        <v>1</v>
      </c>
      <c r="AB109" s="450">
        <f>EUwideConstants!$C$304</f>
        <v>91</v>
      </c>
      <c r="AC109" s="450">
        <f>EUwideConstants!$H$304</f>
        <v>62.3</v>
      </c>
      <c r="AD109" s="450" t="str">
        <f aca="true" t="shared" si="33" ref="AD109:AD114">EUconst_EUA&amp;" / "&amp;AE109</f>
        <v>EUA / TJ</v>
      </c>
      <c r="AE109" s="450" t="str">
        <f>EUconst_TJ</f>
        <v>TJ</v>
      </c>
      <c r="AF109" s="450" t="str">
        <f aca="true" t="shared" si="34" ref="AF109:AF114">AE109&amp;" / "&amp;EUconst_Year</f>
        <v>TJ / anno</v>
      </c>
      <c r="AG109" s="422"/>
      <c r="AH109" s="422"/>
      <c r="AI109" s="422"/>
      <c r="AJ109" s="422"/>
      <c r="AK109" s="422"/>
      <c r="AL109" s="422"/>
      <c r="AM109" s="422"/>
      <c r="AN109" s="422"/>
      <c r="AO109" s="422"/>
      <c r="AP109" s="422"/>
      <c r="AQ109" s="422"/>
    </row>
    <row r="110" spans="1:43" s="521" customFormat="1" ht="12.75" customHeight="1">
      <c r="A110" s="4"/>
      <c r="B110" s="5"/>
      <c r="C110" s="29">
        <v>12</v>
      </c>
      <c r="D110" s="947" t="str">
        <f t="shared" si="31"/>
        <v>Sottoimpianto oggetto di un parametro di riferimento relativo al calore, non CL</v>
      </c>
      <c r="E110" s="948"/>
      <c r="F110" s="948"/>
      <c r="G110" s="949"/>
      <c r="H110" s="64" t="str">
        <f t="shared" si="32"/>
        <v>TJ / anno</v>
      </c>
      <c r="I110" s="485">
        <f t="shared" si="29"/>
      </c>
      <c r="J110" s="485">
        <f t="shared" si="21"/>
      </c>
      <c r="K110" s="5"/>
      <c r="L110" s="322"/>
      <c r="M110" s="322"/>
      <c r="N110" s="322"/>
      <c r="O110" s="322"/>
      <c r="P110" s="9"/>
      <c r="Q110" s="450" t="str">
        <f t="shared" si="22"/>
        <v>CAPINI_Sottoimpianto oggetto di un parametro di riferimento relativo al calore, non CL</v>
      </c>
      <c r="R110" s="454"/>
      <c r="S110" s="440"/>
      <c r="T110" s="440"/>
      <c r="U110" s="440"/>
      <c r="V110" s="452">
        <f t="shared" si="30"/>
        <v>1</v>
      </c>
      <c r="W110" s="440"/>
      <c r="X110" s="459">
        <f>SUMIF(C_MergerSplitTransfer!$U$9:$U$68,$Q110,CHOOSE($V110,C_MergerSplitTransfer!I$9:I$68,C_MergerSplitTransfer!L$9:L$68))</f>
        <v>0</v>
      </c>
      <c r="Y110" s="459">
        <f>SUMIF(C_MergerSplitTransfer!$U$9:$U$68,$Q110,CHOOSE($V110,C_MergerSplitTransfer!J$9:J$68,C_MergerSplitTransfer!M$9:M$68))</f>
        <v>0</v>
      </c>
      <c r="Z110" s="422"/>
      <c r="AA110" s="450" t="b">
        <v>0</v>
      </c>
      <c r="AB110" s="450">
        <f>EUwideConstants!$C$305</f>
        <v>92</v>
      </c>
      <c r="AC110" s="450">
        <f>EUwideConstants!$H$305</f>
        <v>62.3</v>
      </c>
      <c r="AD110" s="450" t="str">
        <f t="shared" si="33"/>
        <v>EUA / TJ</v>
      </c>
      <c r="AE110" s="450" t="str">
        <f>EUconst_TJ</f>
        <v>TJ</v>
      </c>
      <c r="AF110" s="450" t="str">
        <f t="shared" si="34"/>
        <v>TJ / anno</v>
      </c>
      <c r="AG110" s="422"/>
      <c r="AH110" s="422"/>
      <c r="AI110" s="422"/>
      <c r="AJ110" s="422"/>
      <c r="AK110" s="422"/>
      <c r="AL110" s="422"/>
      <c r="AM110" s="422"/>
      <c r="AN110" s="422"/>
      <c r="AO110" s="422"/>
      <c r="AP110" s="422"/>
      <c r="AQ110" s="422"/>
    </row>
    <row r="111" spans="1:43" s="521" customFormat="1" ht="12.75" customHeight="1">
      <c r="A111" s="4"/>
      <c r="B111" s="5"/>
      <c r="C111" s="29">
        <v>13</v>
      </c>
      <c r="D111" s="947" t="str">
        <f t="shared" si="31"/>
        <v>Sottoimpianto oggetto di un parametro di riferimento relativo al combustibile, CL</v>
      </c>
      <c r="E111" s="948"/>
      <c r="F111" s="948"/>
      <c r="G111" s="949"/>
      <c r="H111" s="64" t="str">
        <f t="shared" si="32"/>
        <v>TJ / anno</v>
      </c>
      <c r="I111" s="485">
        <f t="shared" si="29"/>
      </c>
      <c r="J111" s="485">
        <f t="shared" si="21"/>
      </c>
      <c r="K111" s="5"/>
      <c r="L111" s="322"/>
      <c r="M111" s="322"/>
      <c r="N111" s="322"/>
      <c r="O111" s="322"/>
      <c r="P111" s="9"/>
      <c r="Q111" s="450" t="str">
        <f t="shared" si="22"/>
        <v>CAPINI_Sottoimpianto oggetto di un parametro di riferimento relativo al combustibile, CL</v>
      </c>
      <c r="R111" s="454"/>
      <c r="S111" s="440"/>
      <c r="T111" s="440"/>
      <c r="U111" s="440"/>
      <c r="V111" s="452">
        <f t="shared" si="30"/>
        <v>1</v>
      </c>
      <c r="W111" s="440"/>
      <c r="X111" s="459">
        <f>SUMIF(C_MergerSplitTransfer!$U$9:$U$68,$Q111,CHOOSE($V111,C_MergerSplitTransfer!I$9:I$68,C_MergerSplitTransfer!L$9:L$68))</f>
        <v>0</v>
      </c>
      <c r="Y111" s="459">
        <f>SUMIF(C_MergerSplitTransfer!$U$9:$U$68,$Q111,CHOOSE($V111,C_MergerSplitTransfer!J$9:J$68,C_MergerSplitTransfer!M$9:M$68))</f>
        <v>0</v>
      </c>
      <c r="Z111" s="422"/>
      <c r="AA111" s="450" t="b">
        <v>1</v>
      </c>
      <c r="AB111" s="450">
        <f>EUwideConstants!$C$306</f>
        <v>93</v>
      </c>
      <c r="AC111" s="450">
        <f>EUwideConstants!$H$306</f>
        <v>56.1</v>
      </c>
      <c r="AD111" s="450" t="str">
        <f t="shared" si="33"/>
        <v>EUA / TJ</v>
      </c>
      <c r="AE111" s="450" t="str">
        <f>EUconst_TJ</f>
        <v>TJ</v>
      </c>
      <c r="AF111" s="450" t="str">
        <f t="shared" si="34"/>
        <v>TJ / anno</v>
      </c>
      <c r="AG111" s="422"/>
      <c r="AH111" s="422"/>
      <c r="AI111" s="422"/>
      <c r="AJ111" s="422"/>
      <c r="AK111" s="422"/>
      <c r="AL111" s="422"/>
      <c r="AM111" s="422"/>
      <c r="AN111" s="422"/>
      <c r="AO111" s="422"/>
      <c r="AP111" s="422"/>
      <c r="AQ111" s="422"/>
    </row>
    <row r="112" spans="1:43" s="521" customFormat="1" ht="12.75" customHeight="1">
      <c r="A112" s="4"/>
      <c r="B112" s="5"/>
      <c r="C112" s="29">
        <v>14</v>
      </c>
      <c r="D112" s="947" t="str">
        <f t="shared" si="31"/>
        <v>Sottoimpianto oggetto di un parametro di riferimento relativo al combustibile, non CL</v>
      </c>
      <c r="E112" s="948"/>
      <c r="F112" s="948"/>
      <c r="G112" s="949"/>
      <c r="H112" s="64" t="str">
        <f t="shared" si="32"/>
        <v>TJ / anno</v>
      </c>
      <c r="I112" s="485">
        <f t="shared" si="29"/>
      </c>
      <c r="J112" s="485">
        <f t="shared" si="21"/>
      </c>
      <c r="K112" s="5"/>
      <c r="L112" s="322"/>
      <c r="M112" s="322"/>
      <c r="N112" s="322"/>
      <c r="O112" s="322"/>
      <c r="P112" s="9"/>
      <c r="Q112" s="450" t="str">
        <f t="shared" si="22"/>
        <v>CAPINI_Sottoimpianto oggetto di un parametro di riferimento relativo al combustibile, non CL</v>
      </c>
      <c r="R112" s="454"/>
      <c r="S112" s="440"/>
      <c r="T112" s="440"/>
      <c r="U112" s="440"/>
      <c r="V112" s="452">
        <f t="shared" si="30"/>
        <v>1</v>
      </c>
      <c r="W112" s="440"/>
      <c r="X112" s="459">
        <f>SUMIF(C_MergerSplitTransfer!$U$9:$U$68,$Q112,CHOOSE($V112,C_MergerSplitTransfer!I$9:I$68,C_MergerSplitTransfer!L$9:L$68))</f>
        <v>0</v>
      </c>
      <c r="Y112" s="459">
        <f>SUMIF(C_MergerSplitTransfer!$U$9:$U$68,$Q112,CHOOSE($V112,C_MergerSplitTransfer!J$9:J$68,C_MergerSplitTransfer!M$9:M$68))</f>
        <v>0</v>
      </c>
      <c r="Z112" s="422"/>
      <c r="AA112" s="450" t="b">
        <v>0</v>
      </c>
      <c r="AB112" s="450">
        <f>EUwideConstants!$C$307</f>
        <v>94</v>
      </c>
      <c r="AC112" s="450">
        <f>EUwideConstants!$H$307</f>
        <v>56.1</v>
      </c>
      <c r="AD112" s="450" t="str">
        <f t="shared" si="33"/>
        <v>EUA / TJ</v>
      </c>
      <c r="AE112" s="450" t="str">
        <f>EUconst_TJ</f>
        <v>TJ</v>
      </c>
      <c r="AF112" s="450" t="str">
        <f t="shared" si="34"/>
        <v>TJ / anno</v>
      </c>
      <c r="AG112" s="422"/>
      <c r="AH112" s="422"/>
      <c r="AI112" s="422"/>
      <c r="AJ112" s="422"/>
      <c r="AK112" s="422"/>
      <c r="AL112" s="422"/>
      <c r="AM112" s="422"/>
      <c r="AN112" s="422"/>
      <c r="AO112" s="422"/>
      <c r="AP112" s="422"/>
      <c r="AQ112" s="422"/>
    </row>
    <row r="113" spans="1:43" s="521" customFormat="1" ht="12.75" customHeight="1">
      <c r="A113" s="4"/>
      <c r="B113" s="5"/>
      <c r="C113" s="29">
        <v>15</v>
      </c>
      <c r="D113" s="947" t="str">
        <f t="shared" si="31"/>
        <v>Sottoimpianto con emissioni di processo, CL</v>
      </c>
      <c r="E113" s="948"/>
      <c r="F113" s="948"/>
      <c r="G113" s="949"/>
      <c r="H113" s="64" t="str">
        <f t="shared" si="32"/>
        <v>t CO2e / anno</v>
      </c>
      <c r="I113" s="485">
        <f t="shared" si="29"/>
      </c>
      <c r="J113" s="485">
        <f t="shared" si="21"/>
      </c>
      <c r="K113" s="5"/>
      <c r="L113" s="322"/>
      <c r="M113" s="322"/>
      <c r="N113" s="322"/>
      <c r="O113" s="322"/>
      <c r="P113" s="9"/>
      <c r="Q113" s="450" t="str">
        <f t="shared" si="22"/>
        <v>CAPINI_Sottoimpianto con emissioni di processo, CL</v>
      </c>
      <c r="R113" s="454"/>
      <c r="S113" s="440"/>
      <c r="T113" s="440"/>
      <c r="U113" s="440"/>
      <c r="V113" s="452">
        <f t="shared" si="30"/>
        <v>1</v>
      </c>
      <c r="W113" s="440"/>
      <c r="X113" s="459">
        <f>SUMIF(C_MergerSplitTransfer!$U$9:$U$68,$Q113,CHOOSE($V113,C_MergerSplitTransfer!I$9:I$68,C_MergerSplitTransfer!L$9:L$68))</f>
        <v>0</v>
      </c>
      <c r="Y113" s="459">
        <f>SUMIF(C_MergerSplitTransfer!$U$9:$U$68,$Q113,CHOOSE($V113,C_MergerSplitTransfer!J$9:J$68,C_MergerSplitTransfer!M$9:M$68))</f>
        <v>0</v>
      </c>
      <c r="Z113" s="422"/>
      <c r="AA113" s="450" t="b">
        <v>1</v>
      </c>
      <c r="AB113" s="450">
        <f>EUwideConstants!$C$308</f>
        <v>95</v>
      </c>
      <c r="AC113" s="450">
        <f>EUwideConstants!$H$308</f>
        <v>0.97</v>
      </c>
      <c r="AD113" s="450" t="str">
        <f t="shared" si="33"/>
        <v>EUA / t CO2e</v>
      </c>
      <c r="AE113" s="450" t="str">
        <f>EUconst_tCO2e</f>
        <v>t CO2e</v>
      </c>
      <c r="AF113" s="450" t="str">
        <f t="shared" si="34"/>
        <v>t CO2e / anno</v>
      </c>
      <c r="AG113" s="422"/>
      <c r="AH113" s="422"/>
      <c r="AI113" s="422"/>
      <c r="AJ113" s="422"/>
      <c r="AK113" s="422"/>
      <c r="AL113" s="422"/>
      <c r="AM113" s="422"/>
      <c r="AN113" s="422"/>
      <c r="AO113" s="422"/>
      <c r="AP113" s="422"/>
      <c r="AQ113" s="422"/>
    </row>
    <row r="114" spans="1:43" s="521" customFormat="1" ht="12.75" customHeight="1" thickBot="1">
      <c r="A114" s="4"/>
      <c r="B114" s="5"/>
      <c r="C114" s="25">
        <v>16</v>
      </c>
      <c r="D114" s="950" t="str">
        <f t="shared" si="31"/>
        <v>Sottoimpianto con emissioni di processo, non CL</v>
      </c>
      <c r="E114" s="951"/>
      <c r="F114" s="951"/>
      <c r="G114" s="952"/>
      <c r="H114" s="63" t="str">
        <f t="shared" si="32"/>
        <v>t CO2e / anno</v>
      </c>
      <c r="I114" s="486">
        <f t="shared" si="29"/>
      </c>
      <c r="J114" s="486">
        <f t="shared" si="21"/>
      </c>
      <c r="K114" s="5"/>
      <c r="L114" s="322"/>
      <c r="M114" s="322"/>
      <c r="N114" s="322"/>
      <c r="O114" s="322"/>
      <c r="P114" s="9"/>
      <c r="Q114" s="450" t="str">
        <f t="shared" si="22"/>
        <v>CAPINI_Sottoimpianto con emissioni di processo, non CL</v>
      </c>
      <c r="R114" s="454"/>
      <c r="S114" s="440"/>
      <c r="T114" s="440"/>
      <c r="U114" s="440"/>
      <c r="V114" s="453">
        <f t="shared" si="30"/>
        <v>1</v>
      </c>
      <c r="W114" s="440"/>
      <c r="X114" s="459">
        <f>SUMIF(C_MergerSplitTransfer!$U$9:$U$68,$Q114,CHOOSE($V114,C_MergerSplitTransfer!I$9:I$68,C_MergerSplitTransfer!L$9:L$68))</f>
        <v>0</v>
      </c>
      <c r="Y114" s="459">
        <f>SUMIF(C_MergerSplitTransfer!$U$9:$U$68,$Q114,CHOOSE($V114,C_MergerSplitTransfer!J$9:J$68,C_MergerSplitTransfer!M$9:M$68))</f>
        <v>0</v>
      </c>
      <c r="Z114" s="422"/>
      <c r="AA114" s="450" t="b">
        <v>0</v>
      </c>
      <c r="AB114" s="450">
        <f>EUwideConstants!$C$309</f>
        <v>96</v>
      </c>
      <c r="AC114" s="450">
        <f>EUwideConstants!$H$309</f>
        <v>0.97</v>
      </c>
      <c r="AD114" s="450" t="str">
        <f t="shared" si="33"/>
        <v>EUA / t CO2e</v>
      </c>
      <c r="AE114" s="450" t="str">
        <f>EUconst_tCO2e</f>
        <v>t CO2e</v>
      </c>
      <c r="AF114" s="450" t="str">
        <f t="shared" si="34"/>
        <v>t CO2e / anno</v>
      </c>
      <c r="AG114" s="422"/>
      <c r="AH114" s="422"/>
      <c r="AI114" s="422"/>
      <c r="AJ114" s="422"/>
      <c r="AK114" s="422"/>
      <c r="AL114" s="422"/>
      <c r="AM114" s="422"/>
      <c r="AN114" s="422"/>
      <c r="AO114" s="422"/>
      <c r="AP114" s="422"/>
      <c r="AQ114" s="422"/>
    </row>
    <row r="115" spans="1:43" s="521" customFormat="1" ht="12.75" customHeight="1">
      <c r="A115" s="4"/>
      <c r="B115" s="5"/>
      <c r="C115" s="7"/>
      <c r="D115" s="5"/>
      <c r="E115" s="5"/>
      <c r="F115" s="5"/>
      <c r="G115" s="5"/>
      <c r="H115" s="5"/>
      <c r="I115" s="5"/>
      <c r="J115" s="5"/>
      <c r="K115" s="5"/>
      <c r="L115" s="5"/>
      <c r="M115" s="9"/>
      <c r="N115" s="9"/>
      <c r="O115" s="314"/>
      <c r="P115" s="9"/>
      <c r="Q115" s="440"/>
      <c r="R115" s="454"/>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row>
    <row r="116" spans="1:43" s="521" customFormat="1" ht="12.75" customHeight="1" thickBot="1">
      <c r="A116" s="4"/>
      <c r="B116" s="5"/>
      <c r="C116" s="7"/>
      <c r="D116" s="5"/>
      <c r="E116" s="5"/>
      <c r="F116" s="5"/>
      <c r="G116" s="5"/>
      <c r="H116" s="5"/>
      <c r="I116" s="5"/>
      <c r="J116" s="5"/>
      <c r="K116" s="5"/>
      <c r="L116" s="5"/>
      <c r="M116" s="9"/>
      <c r="N116" s="9"/>
      <c r="O116" s="314"/>
      <c r="P116" s="9"/>
      <c r="Q116" s="440"/>
      <c r="R116" s="454"/>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row>
    <row r="117" spans="1:43" s="524" customFormat="1" ht="15" customHeight="1" thickBot="1">
      <c r="A117" s="207"/>
      <c r="B117" s="208"/>
      <c r="C117" s="548">
        <v>2</v>
      </c>
      <c r="D117" s="1005" t="str">
        <f>Translations!$B$1006</f>
        <v>Numero finale indicativo previsto di quote di emissioni assegnate a titolo gratuito:</v>
      </c>
      <c r="E117" s="1005"/>
      <c r="F117" s="1005"/>
      <c r="G117" s="1005"/>
      <c r="H117" s="1005"/>
      <c r="I117" s="1005"/>
      <c r="J117" s="1005"/>
      <c r="K117" s="1006"/>
      <c r="L117" s="1007">
        <f>CHOOSE(C117,$J$20,$J$24)</f>
      </c>
      <c r="M117" s="1008"/>
      <c r="N117" s="1009"/>
      <c r="O117" s="209"/>
      <c r="P117" s="209"/>
      <c r="Q117" s="492"/>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row>
    <row r="118" spans="1:43" s="521" customFormat="1" ht="12.75" customHeight="1">
      <c r="A118" s="4"/>
      <c r="B118" s="5"/>
      <c r="C118" s="549"/>
      <c r="D118" s="1057" t="str">
        <f>Translations!$B$1583</f>
        <v>I quantitativi riportati qui riflettono il calcolo del quantitativo totale finale di quote assegnate a titolo gratuito all'impianto che presenta la domanda.</v>
      </c>
      <c r="E118" s="1057"/>
      <c r="F118" s="1057"/>
      <c r="G118" s="1057"/>
      <c r="H118" s="1057"/>
      <c r="I118" s="1057"/>
      <c r="J118" s="1057"/>
      <c r="K118" s="1057"/>
      <c r="L118" s="1057"/>
      <c r="M118" s="1057"/>
      <c r="N118" s="1057"/>
      <c r="O118" s="9"/>
      <c r="P118" s="9"/>
      <c r="Q118" s="440"/>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row>
    <row r="119" spans="1:43" s="521" customFormat="1" ht="25.5" customHeight="1">
      <c r="A119" s="4"/>
      <c r="B119" s="5"/>
      <c r="C119" s="549"/>
      <c r="D119" s="1058" t="str">
        <f>Translations!$B$1584</f>
        <v>Nota: I quantitativi riportati qui riflettono l’assegnazione all’altro impianto coinvolto e ciò è pertinente solo per i casi di scissione o trasferimento di parti di impianti. Sono riportati solo per motivi di completezza</v>
      </c>
      <c r="E119" s="1058"/>
      <c r="F119" s="1058"/>
      <c r="G119" s="1058"/>
      <c r="H119" s="1058"/>
      <c r="I119" s="1058"/>
      <c r="J119" s="1058"/>
      <c r="K119" s="1058"/>
      <c r="L119" s="1058"/>
      <c r="M119" s="1058"/>
      <c r="N119" s="1058"/>
      <c r="O119" s="9"/>
      <c r="P119" s="9"/>
      <c r="Q119" s="440"/>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row>
    <row r="120" spans="1:43" s="521" customFormat="1" ht="4.5" customHeight="1">
      <c r="A120" s="4"/>
      <c r="B120" s="5"/>
      <c r="C120" s="549"/>
      <c r="D120" s="549"/>
      <c r="E120" s="549"/>
      <c r="F120" s="549"/>
      <c r="G120" s="549"/>
      <c r="H120" s="549"/>
      <c r="I120" s="549"/>
      <c r="J120" s="549"/>
      <c r="K120" s="549"/>
      <c r="L120" s="549"/>
      <c r="M120" s="549"/>
      <c r="N120" s="549"/>
      <c r="O120" s="9"/>
      <c r="P120" s="9"/>
      <c r="Q120" s="440"/>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row>
    <row r="121" spans="1:43" s="521" customFormat="1" ht="12.75" customHeight="1" thickBot="1">
      <c r="A121" s="4"/>
      <c r="B121" s="5"/>
      <c r="C121" s="550"/>
      <c r="D121" s="1033" t="str">
        <f>Translations!$B$440</f>
        <v>Sottoimpianto</v>
      </c>
      <c r="E121" s="1034"/>
      <c r="F121" s="1035"/>
      <c r="G121" s="551">
        <v>2013</v>
      </c>
      <c r="H121" s="551">
        <v>2014</v>
      </c>
      <c r="I121" s="551">
        <v>2015</v>
      </c>
      <c r="J121" s="551">
        <v>2016</v>
      </c>
      <c r="K121" s="551">
        <v>2017</v>
      </c>
      <c r="L121" s="551">
        <v>2018</v>
      </c>
      <c r="M121" s="551">
        <v>2019</v>
      </c>
      <c r="N121" s="551">
        <v>2020</v>
      </c>
      <c r="O121" s="322"/>
      <c r="P121" s="320"/>
      <c r="Q121" s="440"/>
      <c r="R121" s="422"/>
      <c r="S121" s="422"/>
      <c r="T121" s="448" t="s">
        <v>497</v>
      </c>
      <c r="U121" s="422"/>
      <c r="V121" s="448" t="s">
        <v>545</v>
      </c>
      <c r="W121" s="422"/>
      <c r="X121" s="423">
        <v>1</v>
      </c>
      <c r="Y121" s="424">
        <v>2013</v>
      </c>
      <c r="Z121" s="424">
        <v>2014</v>
      </c>
      <c r="AA121" s="424">
        <v>2015</v>
      </c>
      <c r="AB121" s="424">
        <v>2016</v>
      </c>
      <c r="AC121" s="424">
        <v>2017</v>
      </c>
      <c r="AD121" s="424">
        <v>2018</v>
      </c>
      <c r="AE121" s="424">
        <v>2019</v>
      </c>
      <c r="AF121" s="424">
        <v>2020</v>
      </c>
      <c r="AG121" s="422"/>
      <c r="AH121" s="423">
        <v>2</v>
      </c>
      <c r="AI121" s="424">
        <v>2013</v>
      </c>
      <c r="AJ121" s="424">
        <v>2014</v>
      </c>
      <c r="AK121" s="424">
        <v>2015</v>
      </c>
      <c r="AL121" s="424">
        <v>2016</v>
      </c>
      <c r="AM121" s="424">
        <v>2017</v>
      </c>
      <c r="AN121" s="424">
        <v>2018</v>
      </c>
      <c r="AO121" s="424">
        <v>2019</v>
      </c>
      <c r="AP121" s="424">
        <v>2020</v>
      </c>
      <c r="AQ121" s="422"/>
    </row>
    <row r="122" spans="1:43" s="521" customFormat="1" ht="12.75" customHeight="1" thickBot="1">
      <c r="A122" s="4"/>
      <c r="B122" s="5"/>
      <c r="C122" s="552">
        <v>0</v>
      </c>
      <c r="D122" s="1019" t="str">
        <f>Translations!$B$1447</f>
        <v>Fase prima dell'avvio</v>
      </c>
      <c r="E122" s="1020"/>
      <c r="F122" s="1021"/>
      <c r="G122" s="553">
        <f>IF(SUM(IF(ISERROR(Y122),0,Y122),IF(ISERROR(AI122),0,AI122))=0,"",ROUND(SUM(IF(ISERROR(Y122),0,Y122),IF(ISERROR(AI122),0,AI122)),0))</f>
      </c>
      <c r="H122" s="553">
        <f aca="true" t="shared" si="35" ref="H122:H139">IF(SUM(IF(ISERROR(Z122),0,Z122),IF(ISERROR(AJ122),0,AJ122))=0,"",ROUND(SUM(IF(ISERROR(Z122),0,Z122),IF(ISERROR(AJ122),0,AJ122)),0))</f>
      </c>
      <c r="I122" s="553">
        <f aca="true" t="shared" si="36" ref="I122:I139">IF(SUM(IF(ISERROR(AA122),0,AA122),IF(ISERROR(AK122),0,AK122))=0,"",ROUND(SUM(IF(ISERROR(AA122),0,AA122),IF(ISERROR(AK122),0,AK122)),0))</f>
      </c>
      <c r="J122" s="553">
        <f aca="true" t="shared" si="37" ref="J122:J139">IF(SUM(IF(ISERROR(AB122),0,AB122),IF(ISERROR(AL122),0,AL122))=0,"",ROUND(SUM(IF(ISERROR(AB122),0,AB122),IF(ISERROR(AL122),0,AL122)),0))</f>
      </c>
      <c r="K122" s="553">
        <f aca="true" t="shared" si="38" ref="K122:K139">IF(SUM(IF(ISERROR(AC122),0,AC122),IF(ISERROR(AM122),0,AM122))=0,"",ROUND(SUM(IF(ISERROR(AC122),0,AC122),IF(ISERROR(AM122),0,AM122)),0))</f>
      </c>
      <c r="L122" s="553">
        <f aca="true" t="shared" si="39" ref="L122:L139">IF(SUM(IF(ISERROR(AD122),0,AD122),IF(ISERROR(AN122),0,AN122))=0,"",ROUND(SUM(IF(ISERROR(AD122),0,AD122),IF(ISERROR(AN122),0,AN122)),0))</f>
      </c>
      <c r="M122" s="553">
        <f aca="true" t="shared" si="40" ref="M122:M139">IF(SUM(IF(ISERROR(AE122),0,AE122),IF(ISERROR(AO122),0,AO122))=0,"",ROUND(SUM(IF(ISERROR(AE122),0,AE122),IF(ISERROR(AO122),0,AO122)),0))</f>
      </c>
      <c r="N122" s="553">
        <f aca="true" t="shared" si="41" ref="N122:N139">IF(SUM(IF(ISERROR(AF122),0,AF122),IF(ISERROR(AP122),0,AP122))=0,"",ROUND(SUM(IF(ISERROR(AF122),0,AF122),IF(ISERROR(AP122),0,AP122)),0))</f>
      </c>
      <c r="O122" s="377"/>
      <c r="P122" s="320"/>
      <c r="Q122" s="450" t="str">
        <f aca="true" t="shared" si="42" ref="Q122:Q139">EUconst_CNTR_Finitial&amp;1&amp;"_"&amp;$D122</f>
        <v>FInitial_1_Fase prima dell'avvio</v>
      </c>
      <c r="R122" s="450" t="str">
        <f aca="true" t="shared" si="43" ref="R122:R139">EUconst_CNTR_Finitial&amp;2&amp;"_"&amp;$D122</f>
        <v>FInitial_2_Fase prima dell'avvio</v>
      </c>
      <c r="S122" s="422"/>
      <c r="T122" s="448"/>
      <c r="U122" s="422"/>
      <c r="V122" s="451">
        <f>C117</f>
        <v>2</v>
      </c>
      <c r="W122" s="422"/>
      <c r="X122" s="425">
        <f>INDEX(CHOOSE($V122,C_MergerSplitTransfer!$H$9:$H$68,C_MergerSplitTransfer!$K$9:$K$68),MATCH(Q122,C_MergerSplitTransfer!$T$9:$T$68,0))</f>
      </c>
      <c r="Y122" s="426" t="e">
        <f>IF(Y$75&lt;=CNTR_YearMergerSplit,"",INDEX(B_InitialSituation!G$9:G$153,MATCH($Q122,B_InitialSituation!$Q$9:$Q$153,0))*$X122)</f>
        <v>#VALUE!</v>
      </c>
      <c r="Z122" s="426" t="e">
        <f>IF(Z$75&lt;=CNTR_YearMergerSplit,"",INDEX(B_InitialSituation!H$9:H$153,MATCH($Q122,B_InitialSituation!$Q$9:$Q$153,0))*$X122)</f>
        <v>#VALUE!</v>
      </c>
      <c r="AA122" s="426" t="e">
        <f>IF(AA$75&lt;=CNTR_YearMergerSplit,"",INDEX(B_InitialSituation!I$9:I$153,MATCH($Q122,B_InitialSituation!$Q$9:$Q$153,0))*$X122)</f>
        <v>#VALUE!</v>
      </c>
      <c r="AB122" s="426" t="e">
        <f>IF(AB$75&lt;=CNTR_YearMergerSplit,"",INDEX(B_InitialSituation!J$9:J$153,MATCH($Q122,B_InitialSituation!$Q$9:$Q$153,0))*$X122)</f>
        <v>#VALUE!</v>
      </c>
      <c r="AC122" s="426" t="e">
        <f>IF(AC$75&lt;=CNTR_YearMergerSplit,"",INDEX(B_InitialSituation!K$9:K$153,MATCH($Q122,B_InitialSituation!$Q$9:$Q$153,0))*$X122)</f>
        <v>#VALUE!</v>
      </c>
      <c r="AD122" s="426" t="e">
        <f>IF(AD$75&lt;=CNTR_YearMergerSplit,"",INDEX(B_InitialSituation!L$9:L$153,MATCH($Q122,B_InitialSituation!$Q$9:$Q$153,0))*$X122)</f>
        <v>#VALUE!</v>
      </c>
      <c r="AE122" s="426" t="e">
        <f>IF(AE$75&lt;=CNTR_YearMergerSplit,"",INDEX(B_InitialSituation!M$9:M$153,MATCH($Q122,B_InitialSituation!$Q$9:$Q$153,0))*$X122)</f>
        <v>#VALUE!</v>
      </c>
      <c r="AF122" s="426" t="e">
        <f>IF(AF$75&lt;=CNTR_YearMergerSplit,"",INDEX(B_InitialSituation!N$9:N$153,MATCH($Q122,B_InitialSituation!$Q$9:$Q$153,0))*$X122)</f>
        <v>#VALUE!</v>
      </c>
      <c r="AG122" s="422"/>
      <c r="AH122" s="425">
        <f>INDEX(CHOOSE($V122,C_MergerSplitTransfer!$H$9:$H$68,C_MergerSplitTransfer!$K$9:$K$68),MATCH(R122,C_MergerSplitTransfer!$T$9:$T$68,0))</f>
      </c>
      <c r="AI122" s="426" t="e">
        <f>IF(AI$75&lt;=CNTR_YearMergerSplit,"",INDEX(B_InitialSituation!G$9:G$153,MATCH($R122,B_InitialSituation!$Q$9:$Q$153,0))*$AH122)</f>
        <v>#VALUE!</v>
      </c>
      <c r="AJ122" s="426" t="e">
        <f>IF(AJ$75&lt;=CNTR_YearMergerSplit,"",INDEX(B_InitialSituation!H$9:H$153,MATCH($R122,B_InitialSituation!$Q$9:$Q$153,0))*$AH122)</f>
        <v>#VALUE!</v>
      </c>
      <c r="AK122" s="426" t="e">
        <f>IF(AK$75&lt;=CNTR_YearMergerSplit,"",INDEX(B_InitialSituation!I$9:I$153,MATCH($R122,B_InitialSituation!$Q$9:$Q$153,0))*$AH122)</f>
        <v>#VALUE!</v>
      </c>
      <c r="AL122" s="426" t="e">
        <f>IF(AL$75&lt;=CNTR_YearMergerSplit,"",INDEX(B_InitialSituation!J$9:J$153,MATCH($R122,B_InitialSituation!$Q$9:$Q$153,0))*$AH122)</f>
        <v>#VALUE!</v>
      </c>
      <c r="AM122" s="426" t="e">
        <f>IF(AM$75&lt;=CNTR_YearMergerSplit,"",INDEX(B_InitialSituation!K$9:K$153,MATCH($R122,B_InitialSituation!$Q$9:$Q$153,0))*$AH122)</f>
        <v>#VALUE!</v>
      </c>
      <c r="AN122" s="426" t="e">
        <f>IF(AN$75&lt;=CNTR_YearMergerSplit,"",INDEX(B_InitialSituation!L$9:L$153,MATCH($R122,B_InitialSituation!$Q$9:$Q$153,0))*$AH122)</f>
        <v>#VALUE!</v>
      </c>
      <c r="AO122" s="426" t="e">
        <f>IF(AO$75&lt;=CNTR_YearMergerSplit,"",INDEX(B_InitialSituation!M$9:M$153,MATCH($R122,B_InitialSituation!$Q$9:$Q$153,0))*$AH122)</f>
        <v>#VALUE!</v>
      </c>
      <c r="AP122" s="426" t="e">
        <f>IF(AP$75&lt;=CNTR_YearMergerSplit,"",INDEX(B_InitialSituation!N$9:N$153,MATCH($R122,B_InitialSituation!$Q$9:$Q$153,0))*$AH122)</f>
        <v>#VALUE!</v>
      </c>
      <c r="AQ122" s="422"/>
    </row>
    <row r="123" spans="1:43" s="521" customFormat="1" ht="12.75" customHeight="1">
      <c r="A123" s="4"/>
      <c r="B123" s="5"/>
      <c r="C123" s="554">
        <v>1</v>
      </c>
      <c r="D123" s="1036">
        <f>IF(OR($L$117="",T123=""),"",T123)</f>
      </c>
      <c r="E123" s="1037"/>
      <c r="F123" s="1038"/>
      <c r="G123" s="555">
        <f aca="true" t="shared" si="44" ref="G123:G139">IF(SUM(IF(ISERROR(Y123),0,Y123),IF(ISERROR(AI123),0,AI123))=0,"",ROUND(SUM(IF(ISERROR(Y123),0,Y123),IF(ISERROR(AI123),0,AI123)),0))</f>
      </c>
      <c r="H123" s="555">
        <f t="shared" si="35"/>
      </c>
      <c r="I123" s="555">
        <f t="shared" si="36"/>
      </c>
      <c r="J123" s="555">
        <f t="shared" si="37"/>
      </c>
      <c r="K123" s="555">
        <f t="shared" si="38"/>
      </c>
      <c r="L123" s="555">
        <f t="shared" si="39"/>
      </c>
      <c r="M123" s="555">
        <f t="shared" si="40"/>
      </c>
      <c r="N123" s="555">
        <f t="shared" si="41"/>
      </c>
      <c r="O123" s="377"/>
      <c r="P123" s="480"/>
      <c r="Q123" s="450" t="str">
        <f t="shared" si="42"/>
        <v>FInitial_1_</v>
      </c>
      <c r="R123" s="450" t="str">
        <f t="shared" si="43"/>
        <v>FInitial_2_</v>
      </c>
      <c r="S123" s="422"/>
      <c r="T123" s="451">
        <f>IF(COUNTIF(B_InitialSituation!$T$9:$T$153,$C123)=0,"",INDEX(B_InitialSituation!$D$9:$D$153,MATCH($C123,B_InitialSituation!$T$9:$T$153,0)))</f>
      </c>
      <c r="U123" s="422"/>
      <c r="V123" s="452">
        <f aca="true" t="shared" si="45" ref="V123:V139">V122</f>
        <v>2</v>
      </c>
      <c r="W123" s="422"/>
      <c r="X123" s="427">
        <f>INDEX(CHOOSE($V123,C_MergerSplitTransfer!$H$9:$H$68,C_MergerSplitTransfer!$K$9:$K$68),MATCH(Q123,C_MergerSplitTransfer!$T$9:$T$68,0))</f>
      </c>
      <c r="Y123" s="428" t="e">
        <f>IF(Y$75&lt;=CNTR_YearMergerSplit,"",INDEX(B_InitialSituation!G$9:G$153,MATCH($Q123,B_InitialSituation!$Q$9:$Q$153,0))*$X123)</f>
        <v>#VALUE!</v>
      </c>
      <c r="Z123" s="428" t="e">
        <f>IF(Z$75&lt;=CNTR_YearMergerSplit,"",INDEX(B_InitialSituation!H$9:H$153,MATCH($Q123,B_InitialSituation!$Q$9:$Q$153,0))*$X123)</f>
        <v>#VALUE!</v>
      </c>
      <c r="AA123" s="428" t="e">
        <f>IF(AA$75&lt;=CNTR_YearMergerSplit,"",INDEX(B_InitialSituation!I$9:I$153,MATCH($Q123,B_InitialSituation!$Q$9:$Q$153,0))*$X123)</f>
        <v>#VALUE!</v>
      </c>
      <c r="AB123" s="428" t="e">
        <f>IF(AB$75&lt;=CNTR_YearMergerSplit,"",INDEX(B_InitialSituation!J$9:J$153,MATCH($Q123,B_InitialSituation!$Q$9:$Q$153,0))*$X123)</f>
        <v>#VALUE!</v>
      </c>
      <c r="AC123" s="428" t="e">
        <f>IF(AC$75&lt;=CNTR_YearMergerSplit,"",INDEX(B_InitialSituation!K$9:K$153,MATCH($Q123,B_InitialSituation!$Q$9:$Q$153,0))*$X123)</f>
        <v>#VALUE!</v>
      </c>
      <c r="AD123" s="428" t="e">
        <f>IF(AD$75&lt;=CNTR_YearMergerSplit,"",INDEX(B_InitialSituation!L$9:L$153,MATCH($Q123,B_InitialSituation!$Q$9:$Q$153,0))*$X123)</f>
        <v>#VALUE!</v>
      </c>
      <c r="AE123" s="428" t="e">
        <f>IF(AE$75&lt;=CNTR_YearMergerSplit,"",INDEX(B_InitialSituation!M$9:M$153,MATCH($Q123,B_InitialSituation!$Q$9:$Q$153,0))*$X123)</f>
        <v>#VALUE!</v>
      </c>
      <c r="AF123" s="428" t="e">
        <f>IF(AF$75&lt;=CNTR_YearMergerSplit,"",INDEX(B_InitialSituation!N$9:N$153,MATCH($Q123,B_InitialSituation!$Q$9:$Q$153,0))*$X123)</f>
        <v>#VALUE!</v>
      </c>
      <c r="AG123" s="422"/>
      <c r="AH123" s="427">
        <f>INDEX(CHOOSE($V123,C_MergerSplitTransfer!$H$9:$H$68,C_MergerSplitTransfer!$K$9:$K$68),MATCH(R123,C_MergerSplitTransfer!$T$9:$T$68,0))</f>
      </c>
      <c r="AI123" s="428" t="e">
        <f>IF(AI$75&lt;=CNTR_YearMergerSplit,"",INDEX(B_InitialSituation!G$9:G$153,MATCH($R123,B_InitialSituation!$Q$9:$Q$153,0))*$AH123)</f>
        <v>#VALUE!</v>
      </c>
      <c r="AJ123" s="428" t="e">
        <f>IF(AJ$75&lt;=CNTR_YearMergerSplit,"",INDEX(B_InitialSituation!H$9:H$153,MATCH($R123,B_InitialSituation!$Q$9:$Q$153,0))*$AH123)</f>
        <v>#VALUE!</v>
      </c>
      <c r="AK123" s="428" t="e">
        <f>IF(AK$75&lt;=CNTR_YearMergerSplit,"",INDEX(B_InitialSituation!I$9:I$153,MATCH($R123,B_InitialSituation!$Q$9:$Q$153,0))*$AH123)</f>
        <v>#VALUE!</v>
      </c>
      <c r="AL123" s="428" t="e">
        <f>IF(AL$75&lt;=CNTR_YearMergerSplit,"",INDEX(B_InitialSituation!J$9:J$153,MATCH($R123,B_InitialSituation!$Q$9:$Q$153,0))*$AH123)</f>
        <v>#VALUE!</v>
      </c>
      <c r="AM123" s="428" t="e">
        <f>IF(AM$75&lt;=CNTR_YearMergerSplit,"",INDEX(B_InitialSituation!K$9:K$153,MATCH($R123,B_InitialSituation!$Q$9:$Q$153,0))*$AH123)</f>
        <v>#VALUE!</v>
      </c>
      <c r="AN123" s="428" t="e">
        <f>IF(AN$75&lt;=CNTR_YearMergerSplit,"",INDEX(B_InitialSituation!L$9:L$153,MATCH($R123,B_InitialSituation!$Q$9:$Q$153,0))*$AH123)</f>
        <v>#VALUE!</v>
      </c>
      <c r="AO123" s="428" t="e">
        <f>IF(AO$75&lt;=CNTR_YearMergerSplit,"",INDEX(B_InitialSituation!M$9:M$153,MATCH($R123,B_InitialSituation!$Q$9:$Q$153,0))*$AH123)</f>
        <v>#VALUE!</v>
      </c>
      <c r="AP123" s="428" t="e">
        <f>IF(AP$75&lt;=CNTR_YearMergerSplit,"",INDEX(B_InitialSituation!N$9:N$153,MATCH($R123,B_InitialSituation!$Q$9:$Q$153,0))*$AH123)</f>
        <v>#VALUE!</v>
      </c>
      <c r="AQ123" s="422"/>
    </row>
    <row r="124" spans="1:43" s="521" customFormat="1" ht="12.75" customHeight="1">
      <c r="A124" s="4"/>
      <c r="B124" s="5"/>
      <c r="C124" s="554">
        <v>2</v>
      </c>
      <c r="D124" s="1010">
        <f aca="true" t="shared" si="46" ref="D124:D132">IF(OR($L$117="",T124=""),"",T124)</f>
      </c>
      <c r="E124" s="1011"/>
      <c r="F124" s="1012"/>
      <c r="G124" s="556">
        <f t="shared" si="44"/>
      </c>
      <c r="H124" s="556">
        <f t="shared" si="35"/>
      </c>
      <c r="I124" s="556">
        <f t="shared" si="36"/>
      </c>
      <c r="J124" s="556">
        <f t="shared" si="37"/>
      </c>
      <c r="K124" s="556">
        <f t="shared" si="38"/>
      </c>
      <c r="L124" s="556">
        <f t="shared" si="39"/>
      </c>
      <c r="M124" s="556">
        <f t="shared" si="40"/>
      </c>
      <c r="N124" s="556">
        <f t="shared" si="41"/>
      </c>
      <c r="O124" s="322"/>
      <c r="P124" s="320"/>
      <c r="Q124" s="450" t="str">
        <f t="shared" si="42"/>
        <v>FInitial_1_</v>
      </c>
      <c r="R124" s="450" t="str">
        <f t="shared" si="43"/>
        <v>FInitial_2_</v>
      </c>
      <c r="S124" s="422"/>
      <c r="T124" s="452">
        <f>IF(COUNTIF(B_InitialSituation!$T$9:$T$153,$C124)=0,"",INDEX(B_InitialSituation!$D$9:$D$153,MATCH($C124,B_InitialSituation!$T$9:$T$153,0)))</f>
      </c>
      <c r="U124" s="422"/>
      <c r="V124" s="452">
        <f t="shared" si="45"/>
        <v>2</v>
      </c>
      <c r="W124" s="422"/>
      <c r="X124" s="429">
        <f>INDEX(CHOOSE($V124,C_MergerSplitTransfer!$H$9:$H$68,C_MergerSplitTransfer!$K$9:$K$68),MATCH(Q124,C_MergerSplitTransfer!$T$9:$T$68,0))</f>
      </c>
      <c r="Y124" s="430" t="e">
        <f>IF(Y$75&lt;=CNTR_YearMergerSplit,"",INDEX(B_InitialSituation!G$9:G$153,MATCH($Q124,B_InitialSituation!$Q$9:$Q$153,0))*$X124)</f>
        <v>#VALUE!</v>
      </c>
      <c r="Z124" s="430" t="e">
        <f>IF(Z$75&lt;=CNTR_YearMergerSplit,"",INDEX(B_InitialSituation!H$9:H$153,MATCH($Q124,B_InitialSituation!$Q$9:$Q$153,0))*$X124)</f>
        <v>#VALUE!</v>
      </c>
      <c r="AA124" s="430" t="e">
        <f>IF(AA$75&lt;=CNTR_YearMergerSplit,"",INDEX(B_InitialSituation!I$9:I$153,MATCH($Q124,B_InitialSituation!$Q$9:$Q$153,0))*$X124)</f>
        <v>#VALUE!</v>
      </c>
      <c r="AB124" s="430" t="e">
        <f>IF(AB$75&lt;=CNTR_YearMergerSplit,"",INDEX(B_InitialSituation!J$9:J$153,MATCH($Q124,B_InitialSituation!$Q$9:$Q$153,0))*$X124)</f>
        <v>#VALUE!</v>
      </c>
      <c r="AC124" s="430" t="e">
        <f>IF(AC$75&lt;=CNTR_YearMergerSplit,"",INDEX(B_InitialSituation!K$9:K$153,MATCH($Q124,B_InitialSituation!$Q$9:$Q$153,0))*$X124)</f>
        <v>#VALUE!</v>
      </c>
      <c r="AD124" s="430" t="e">
        <f>IF(AD$75&lt;=CNTR_YearMergerSplit,"",INDEX(B_InitialSituation!L$9:L$153,MATCH($Q124,B_InitialSituation!$Q$9:$Q$153,0))*$X124)</f>
        <v>#VALUE!</v>
      </c>
      <c r="AE124" s="430" t="e">
        <f>IF(AE$75&lt;=CNTR_YearMergerSplit,"",INDEX(B_InitialSituation!M$9:M$153,MATCH($Q124,B_InitialSituation!$Q$9:$Q$153,0))*$X124)</f>
        <v>#VALUE!</v>
      </c>
      <c r="AF124" s="430" t="e">
        <f>IF(AF$75&lt;=CNTR_YearMergerSplit,"",INDEX(B_InitialSituation!N$9:N$153,MATCH($Q124,B_InitialSituation!$Q$9:$Q$153,0))*$X124)</f>
        <v>#VALUE!</v>
      </c>
      <c r="AG124" s="422"/>
      <c r="AH124" s="429">
        <f>INDEX(CHOOSE($V124,C_MergerSplitTransfer!$H$9:$H$68,C_MergerSplitTransfer!$K$9:$K$68),MATCH(R124,C_MergerSplitTransfer!$T$9:$T$68,0))</f>
      </c>
      <c r="AI124" s="430" t="e">
        <f>IF(AI$75&lt;=CNTR_YearMergerSplit,"",INDEX(B_InitialSituation!G$9:G$153,MATCH($R124,B_InitialSituation!$Q$9:$Q$153,0))*$AH124)</f>
        <v>#VALUE!</v>
      </c>
      <c r="AJ124" s="430" t="e">
        <f>IF(AJ$75&lt;=CNTR_YearMergerSplit,"",INDEX(B_InitialSituation!H$9:H$153,MATCH($R124,B_InitialSituation!$Q$9:$Q$153,0))*$AH124)</f>
        <v>#VALUE!</v>
      </c>
      <c r="AK124" s="430" t="e">
        <f>IF(AK$75&lt;=CNTR_YearMergerSplit,"",INDEX(B_InitialSituation!I$9:I$153,MATCH($R124,B_InitialSituation!$Q$9:$Q$153,0))*$AH124)</f>
        <v>#VALUE!</v>
      </c>
      <c r="AL124" s="430" t="e">
        <f>IF(AL$75&lt;=CNTR_YearMergerSplit,"",INDEX(B_InitialSituation!J$9:J$153,MATCH($R124,B_InitialSituation!$Q$9:$Q$153,0))*$AH124)</f>
        <v>#VALUE!</v>
      </c>
      <c r="AM124" s="430" t="e">
        <f>IF(AM$75&lt;=CNTR_YearMergerSplit,"",INDEX(B_InitialSituation!K$9:K$153,MATCH($R124,B_InitialSituation!$Q$9:$Q$153,0))*$AH124)</f>
        <v>#VALUE!</v>
      </c>
      <c r="AN124" s="430" t="e">
        <f>IF(AN$75&lt;=CNTR_YearMergerSplit,"",INDEX(B_InitialSituation!L$9:L$153,MATCH($R124,B_InitialSituation!$Q$9:$Q$153,0))*$AH124)</f>
        <v>#VALUE!</v>
      </c>
      <c r="AO124" s="430" t="e">
        <f>IF(AO$75&lt;=CNTR_YearMergerSplit,"",INDEX(B_InitialSituation!M$9:M$153,MATCH($R124,B_InitialSituation!$Q$9:$Q$153,0))*$AH124)</f>
        <v>#VALUE!</v>
      </c>
      <c r="AP124" s="430" t="e">
        <f>IF(AP$75&lt;=CNTR_YearMergerSplit,"",INDEX(B_InitialSituation!N$9:N$153,MATCH($R124,B_InitialSituation!$Q$9:$Q$153,0))*$AH124)</f>
        <v>#VALUE!</v>
      </c>
      <c r="AQ124" s="422"/>
    </row>
    <row r="125" spans="1:43" s="521" customFormat="1" ht="12.75" customHeight="1">
      <c r="A125" s="4"/>
      <c r="B125" s="5"/>
      <c r="C125" s="554">
        <v>3</v>
      </c>
      <c r="D125" s="1010">
        <f t="shared" si="46"/>
      </c>
      <c r="E125" s="1011"/>
      <c r="F125" s="1012"/>
      <c r="G125" s="556">
        <f t="shared" si="44"/>
      </c>
      <c r="H125" s="556">
        <f t="shared" si="35"/>
      </c>
      <c r="I125" s="556">
        <f t="shared" si="36"/>
      </c>
      <c r="J125" s="556">
        <f t="shared" si="37"/>
      </c>
      <c r="K125" s="556">
        <f t="shared" si="38"/>
      </c>
      <c r="L125" s="556">
        <f t="shared" si="39"/>
      </c>
      <c r="M125" s="556">
        <f t="shared" si="40"/>
      </c>
      <c r="N125" s="556">
        <f t="shared" si="41"/>
      </c>
      <c r="O125" s="322"/>
      <c r="P125" s="320"/>
      <c r="Q125" s="450" t="str">
        <f t="shared" si="42"/>
        <v>FInitial_1_</v>
      </c>
      <c r="R125" s="450" t="str">
        <f t="shared" si="43"/>
        <v>FInitial_2_</v>
      </c>
      <c r="S125" s="422"/>
      <c r="T125" s="452">
        <f>IF(COUNTIF(B_InitialSituation!$T$9:$T$153,$C125)=0,"",INDEX(B_InitialSituation!$D$9:$D$153,MATCH($C125,B_InitialSituation!$T$9:$T$153,0)))</f>
      </c>
      <c r="U125" s="422"/>
      <c r="V125" s="452">
        <f t="shared" si="45"/>
        <v>2</v>
      </c>
      <c r="W125" s="422"/>
      <c r="X125" s="429">
        <f>INDEX(CHOOSE($V125,C_MergerSplitTransfer!$H$9:$H$68,C_MergerSplitTransfer!$K$9:$K$68),MATCH(Q125,C_MergerSplitTransfer!$T$9:$T$68,0))</f>
      </c>
      <c r="Y125" s="430" t="e">
        <f>IF(Y$75&lt;=CNTR_YearMergerSplit,"",INDEX(B_InitialSituation!G$9:G$153,MATCH($Q125,B_InitialSituation!$Q$9:$Q$153,0))*$X125)</f>
        <v>#VALUE!</v>
      </c>
      <c r="Z125" s="430" t="e">
        <f>IF(Z$75&lt;=CNTR_YearMergerSplit,"",INDEX(B_InitialSituation!H$9:H$153,MATCH($Q125,B_InitialSituation!$Q$9:$Q$153,0))*$X125)</f>
        <v>#VALUE!</v>
      </c>
      <c r="AA125" s="430" t="e">
        <f>IF(AA$75&lt;=CNTR_YearMergerSplit,"",INDEX(B_InitialSituation!I$9:I$153,MATCH($Q125,B_InitialSituation!$Q$9:$Q$153,0))*$X125)</f>
        <v>#VALUE!</v>
      </c>
      <c r="AB125" s="430" t="e">
        <f>IF(AB$75&lt;=CNTR_YearMergerSplit,"",INDEX(B_InitialSituation!J$9:J$153,MATCH($Q125,B_InitialSituation!$Q$9:$Q$153,0))*$X125)</f>
        <v>#VALUE!</v>
      </c>
      <c r="AC125" s="430" t="e">
        <f>IF(AC$75&lt;=CNTR_YearMergerSplit,"",INDEX(B_InitialSituation!K$9:K$153,MATCH($Q125,B_InitialSituation!$Q$9:$Q$153,0))*$X125)</f>
        <v>#VALUE!</v>
      </c>
      <c r="AD125" s="430" t="e">
        <f>IF(AD$75&lt;=CNTR_YearMergerSplit,"",INDEX(B_InitialSituation!L$9:L$153,MATCH($Q125,B_InitialSituation!$Q$9:$Q$153,0))*$X125)</f>
        <v>#VALUE!</v>
      </c>
      <c r="AE125" s="430" t="e">
        <f>IF(AE$75&lt;=CNTR_YearMergerSplit,"",INDEX(B_InitialSituation!M$9:M$153,MATCH($Q125,B_InitialSituation!$Q$9:$Q$153,0))*$X125)</f>
        <v>#VALUE!</v>
      </c>
      <c r="AF125" s="430" t="e">
        <f>IF(AF$75&lt;=CNTR_YearMergerSplit,"",INDEX(B_InitialSituation!N$9:N$153,MATCH($Q125,B_InitialSituation!$Q$9:$Q$153,0))*$X125)</f>
        <v>#VALUE!</v>
      </c>
      <c r="AG125" s="422"/>
      <c r="AH125" s="429">
        <f>INDEX(CHOOSE($V125,C_MergerSplitTransfer!$H$9:$H$68,C_MergerSplitTransfer!$K$9:$K$68),MATCH(R125,C_MergerSplitTransfer!$T$9:$T$68,0))</f>
      </c>
      <c r="AI125" s="430" t="e">
        <f>IF(AI$75&lt;=CNTR_YearMergerSplit,"",INDEX(B_InitialSituation!G$9:G$153,MATCH($R125,B_InitialSituation!$Q$9:$Q$153,0))*$AH125)</f>
        <v>#VALUE!</v>
      </c>
      <c r="AJ125" s="430" t="e">
        <f>IF(AJ$75&lt;=CNTR_YearMergerSplit,"",INDEX(B_InitialSituation!H$9:H$153,MATCH($R125,B_InitialSituation!$Q$9:$Q$153,0))*$AH125)</f>
        <v>#VALUE!</v>
      </c>
      <c r="AK125" s="430" t="e">
        <f>IF(AK$75&lt;=CNTR_YearMergerSplit,"",INDEX(B_InitialSituation!I$9:I$153,MATCH($R125,B_InitialSituation!$Q$9:$Q$153,0))*$AH125)</f>
        <v>#VALUE!</v>
      </c>
      <c r="AL125" s="430" t="e">
        <f>IF(AL$75&lt;=CNTR_YearMergerSplit,"",INDEX(B_InitialSituation!J$9:J$153,MATCH($R125,B_InitialSituation!$Q$9:$Q$153,0))*$AH125)</f>
        <v>#VALUE!</v>
      </c>
      <c r="AM125" s="430" t="e">
        <f>IF(AM$75&lt;=CNTR_YearMergerSplit,"",INDEX(B_InitialSituation!K$9:K$153,MATCH($R125,B_InitialSituation!$Q$9:$Q$153,0))*$AH125)</f>
        <v>#VALUE!</v>
      </c>
      <c r="AN125" s="430" t="e">
        <f>IF(AN$75&lt;=CNTR_YearMergerSplit,"",INDEX(B_InitialSituation!L$9:L$153,MATCH($R125,B_InitialSituation!$Q$9:$Q$153,0))*$AH125)</f>
        <v>#VALUE!</v>
      </c>
      <c r="AO125" s="430" t="e">
        <f>IF(AO$75&lt;=CNTR_YearMergerSplit,"",INDEX(B_InitialSituation!M$9:M$153,MATCH($R125,B_InitialSituation!$Q$9:$Q$153,0))*$AH125)</f>
        <v>#VALUE!</v>
      </c>
      <c r="AP125" s="430" t="e">
        <f>IF(AP$75&lt;=CNTR_YearMergerSplit,"",INDEX(B_InitialSituation!N$9:N$153,MATCH($R125,B_InitialSituation!$Q$9:$Q$153,0))*$AH125)</f>
        <v>#VALUE!</v>
      </c>
      <c r="AQ125" s="422"/>
    </row>
    <row r="126" spans="1:43" s="521" customFormat="1" ht="12.75" customHeight="1">
      <c r="A126" s="4"/>
      <c r="B126" s="5"/>
      <c r="C126" s="554">
        <v>4</v>
      </c>
      <c r="D126" s="1010">
        <f t="shared" si="46"/>
      </c>
      <c r="E126" s="1011"/>
      <c r="F126" s="1012"/>
      <c r="G126" s="556">
        <f t="shared" si="44"/>
      </c>
      <c r="H126" s="556">
        <f t="shared" si="35"/>
      </c>
      <c r="I126" s="556">
        <f t="shared" si="36"/>
      </c>
      <c r="J126" s="556">
        <f t="shared" si="37"/>
      </c>
      <c r="K126" s="556">
        <f t="shared" si="38"/>
      </c>
      <c r="L126" s="556">
        <f t="shared" si="39"/>
      </c>
      <c r="M126" s="556">
        <f t="shared" si="40"/>
      </c>
      <c r="N126" s="556">
        <f t="shared" si="41"/>
      </c>
      <c r="O126" s="322"/>
      <c r="P126" s="320"/>
      <c r="Q126" s="450" t="str">
        <f t="shared" si="42"/>
        <v>FInitial_1_</v>
      </c>
      <c r="R126" s="450" t="str">
        <f t="shared" si="43"/>
        <v>FInitial_2_</v>
      </c>
      <c r="S126" s="422"/>
      <c r="T126" s="452">
        <f>IF(COUNTIF(B_InitialSituation!$T$9:$T$153,$C126)=0,"",INDEX(B_InitialSituation!$D$9:$D$153,MATCH($C126,B_InitialSituation!$T$9:$T$153,0)))</f>
      </c>
      <c r="U126" s="422"/>
      <c r="V126" s="452">
        <f t="shared" si="45"/>
        <v>2</v>
      </c>
      <c r="W126" s="422"/>
      <c r="X126" s="429">
        <f>INDEX(CHOOSE($V126,C_MergerSplitTransfer!$H$9:$H$68,C_MergerSplitTransfer!$K$9:$K$68),MATCH(Q126,C_MergerSplitTransfer!$T$9:$T$68,0))</f>
      </c>
      <c r="Y126" s="430" t="e">
        <f>IF(Y$75&lt;=CNTR_YearMergerSplit,"",INDEX(B_InitialSituation!G$9:G$153,MATCH($Q126,B_InitialSituation!$Q$9:$Q$153,0))*$X126)</f>
        <v>#VALUE!</v>
      </c>
      <c r="Z126" s="430" t="e">
        <f>IF(Z$75&lt;=CNTR_YearMergerSplit,"",INDEX(B_InitialSituation!H$9:H$153,MATCH($Q126,B_InitialSituation!$Q$9:$Q$153,0))*$X126)</f>
        <v>#VALUE!</v>
      </c>
      <c r="AA126" s="430" t="e">
        <f>IF(AA$75&lt;=CNTR_YearMergerSplit,"",INDEX(B_InitialSituation!I$9:I$153,MATCH($Q126,B_InitialSituation!$Q$9:$Q$153,0))*$X126)</f>
        <v>#VALUE!</v>
      </c>
      <c r="AB126" s="430" t="e">
        <f>IF(AB$75&lt;=CNTR_YearMergerSplit,"",INDEX(B_InitialSituation!J$9:J$153,MATCH($Q126,B_InitialSituation!$Q$9:$Q$153,0))*$X126)</f>
        <v>#VALUE!</v>
      </c>
      <c r="AC126" s="430" t="e">
        <f>IF(AC$75&lt;=CNTR_YearMergerSplit,"",INDEX(B_InitialSituation!K$9:K$153,MATCH($Q126,B_InitialSituation!$Q$9:$Q$153,0))*$X126)</f>
        <v>#VALUE!</v>
      </c>
      <c r="AD126" s="430" t="e">
        <f>IF(AD$75&lt;=CNTR_YearMergerSplit,"",INDEX(B_InitialSituation!L$9:L$153,MATCH($Q126,B_InitialSituation!$Q$9:$Q$153,0))*$X126)</f>
        <v>#VALUE!</v>
      </c>
      <c r="AE126" s="430" t="e">
        <f>IF(AE$75&lt;=CNTR_YearMergerSplit,"",INDEX(B_InitialSituation!M$9:M$153,MATCH($Q126,B_InitialSituation!$Q$9:$Q$153,0))*$X126)</f>
        <v>#VALUE!</v>
      </c>
      <c r="AF126" s="430" t="e">
        <f>IF(AF$75&lt;=CNTR_YearMergerSplit,"",INDEX(B_InitialSituation!N$9:N$153,MATCH($Q126,B_InitialSituation!$Q$9:$Q$153,0))*$X126)</f>
        <v>#VALUE!</v>
      </c>
      <c r="AG126" s="422"/>
      <c r="AH126" s="429">
        <f>INDEX(CHOOSE($V126,C_MergerSplitTransfer!$H$9:$H$68,C_MergerSplitTransfer!$K$9:$K$68),MATCH(R126,C_MergerSplitTransfer!$T$9:$T$68,0))</f>
      </c>
      <c r="AI126" s="430" t="e">
        <f>IF(AI$75&lt;=CNTR_YearMergerSplit,"",INDEX(B_InitialSituation!G$9:G$153,MATCH($R126,B_InitialSituation!$Q$9:$Q$153,0))*$AH126)</f>
        <v>#VALUE!</v>
      </c>
      <c r="AJ126" s="430" t="e">
        <f>IF(AJ$75&lt;=CNTR_YearMergerSplit,"",INDEX(B_InitialSituation!H$9:H$153,MATCH($R126,B_InitialSituation!$Q$9:$Q$153,0))*$AH126)</f>
        <v>#VALUE!</v>
      </c>
      <c r="AK126" s="430" t="e">
        <f>IF(AK$75&lt;=CNTR_YearMergerSplit,"",INDEX(B_InitialSituation!I$9:I$153,MATCH($R126,B_InitialSituation!$Q$9:$Q$153,0))*$AH126)</f>
        <v>#VALUE!</v>
      </c>
      <c r="AL126" s="430" t="e">
        <f>IF(AL$75&lt;=CNTR_YearMergerSplit,"",INDEX(B_InitialSituation!J$9:J$153,MATCH($R126,B_InitialSituation!$Q$9:$Q$153,0))*$AH126)</f>
        <v>#VALUE!</v>
      </c>
      <c r="AM126" s="430" t="e">
        <f>IF(AM$75&lt;=CNTR_YearMergerSplit,"",INDEX(B_InitialSituation!K$9:K$153,MATCH($R126,B_InitialSituation!$Q$9:$Q$153,0))*$AH126)</f>
        <v>#VALUE!</v>
      </c>
      <c r="AN126" s="430" t="e">
        <f>IF(AN$75&lt;=CNTR_YearMergerSplit,"",INDEX(B_InitialSituation!L$9:L$153,MATCH($R126,B_InitialSituation!$Q$9:$Q$153,0))*$AH126)</f>
        <v>#VALUE!</v>
      </c>
      <c r="AO126" s="430" t="e">
        <f>IF(AO$75&lt;=CNTR_YearMergerSplit,"",INDEX(B_InitialSituation!M$9:M$153,MATCH($R126,B_InitialSituation!$Q$9:$Q$153,0))*$AH126)</f>
        <v>#VALUE!</v>
      </c>
      <c r="AP126" s="430" t="e">
        <f>IF(AP$75&lt;=CNTR_YearMergerSplit,"",INDEX(B_InitialSituation!N$9:N$153,MATCH($R126,B_InitialSituation!$Q$9:$Q$153,0))*$AH126)</f>
        <v>#VALUE!</v>
      </c>
      <c r="AQ126" s="422"/>
    </row>
    <row r="127" spans="1:43" s="521" customFormat="1" ht="12.75" customHeight="1">
      <c r="A127" s="4"/>
      <c r="B127" s="5"/>
      <c r="C127" s="554">
        <v>5</v>
      </c>
      <c r="D127" s="1010">
        <f t="shared" si="46"/>
      </c>
      <c r="E127" s="1011"/>
      <c r="F127" s="1012"/>
      <c r="G127" s="556">
        <f t="shared" si="44"/>
      </c>
      <c r="H127" s="556">
        <f t="shared" si="35"/>
      </c>
      <c r="I127" s="556">
        <f t="shared" si="36"/>
      </c>
      <c r="J127" s="556">
        <f t="shared" si="37"/>
      </c>
      <c r="K127" s="556">
        <f t="shared" si="38"/>
      </c>
      <c r="L127" s="556">
        <f t="shared" si="39"/>
      </c>
      <c r="M127" s="556">
        <f t="shared" si="40"/>
      </c>
      <c r="N127" s="556">
        <f t="shared" si="41"/>
      </c>
      <c r="O127" s="322"/>
      <c r="P127" s="320"/>
      <c r="Q127" s="450" t="str">
        <f t="shared" si="42"/>
        <v>FInitial_1_</v>
      </c>
      <c r="R127" s="450" t="str">
        <f t="shared" si="43"/>
        <v>FInitial_2_</v>
      </c>
      <c r="S127" s="422"/>
      <c r="T127" s="452">
        <f>IF(COUNTIF(B_InitialSituation!$T$9:$T$153,$C127)=0,"",INDEX(B_InitialSituation!$D$9:$D$153,MATCH($C127,B_InitialSituation!$T$9:$T$153,0)))</f>
      </c>
      <c r="U127" s="422"/>
      <c r="V127" s="452">
        <f t="shared" si="45"/>
        <v>2</v>
      </c>
      <c r="W127" s="422"/>
      <c r="X127" s="429">
        <f>INDEX(CHOOSE($V127,C_MergerSplitTransfer!$H$9:$H$68,C_MergerSplitTransfer!$K$9:$K$68),MATCH(Q127,C_MergerSplitTransfer!$T$9:$T$68,0))</f>
      </c>
      <c r="Y127" s="430" t="e">
        <f>IF(Y$75&lt;=CNTR_YearMergerSplit,"",INDEX(B_InitialSituation!G$9:G$153,MATCH($Q127,B_InitialSituation!$Q$9:$Q$153,0))*$X127)</f>
        <v>#VALUE!</v>
      </c>
      <c r="Z127" s="430" t="e">
        <f>IF(Z$75&lt;=CNTR_YearMergerSplit,"",INDEX(B_InitialSituation!H$9:H$153,MATCH($Q127,B_InitialSituation!$Q$9:$Q$153,0))*$X127)</f>
        <v>#VALUE!</v>
      </c>
      <c r="AA127" s="430" t="e">
        <f>IF(AA$75&lt;=CNTR_YearMergerSplit,"",INDEX(B_InitialSituation!I$9:I$153,MATCH($Q127,B_InitialSituation!$Q$9:$Q$153,0))*$X127)</f>
        <v>#VALUE!</v>
      </c>
      <c r="AB127" s="430" t="e">
        <f>IF(AB$75&lt;=CNTR_YearMergerSplit,"",INDEX(B_InitialSituation!J$9:J$153,MATCH($Q127,B_InitialSituation!$Q$9:$Q$153,0))*$X127)</f>
        <v>#VALUE!</v>
      </c>
      <c r="AC127" s="430" t="e">
        <f>IF(AC$75&lt;=CNTR_YearMergerSplit,"",INDEX(B_InitialSituation!K$9:K$153,MATCH($Q127,B_InitialSituation!$Q$9:$Q$153,0))*$X127)</f>
        <v>#VALUE!</v>
      </c>
      <c r="AD127" s="430" t="e">
        <f>IF(AD$75&lt;=CNTR_YearMergerSplit,"",INDEX(B_InitialSituation!L$9:L$153,MATCH($Q127,B_InitialSituation!$Q$9:$Q$153,0))*$X127)</f>
        <v>#VALUE!</v>
      </c>
      <c r="AE127" s="430" t="e">
        <f>IF(AE$75&lt;=CNTR_YearMergerSplit,"",INDEX(B_InitialSituation!M$9:M$153,MATCH($Q127,B_InitialSituation!$Q$9:$Q$153,0))*$X127)</f>
        <v>#VALUE!</v>
      </c>
      <c r="AF127" s="430" t="e">
        <f>IF(AF$75&lt;=CNTR_YearMergerSplit,"",INDEX(B_InitialSituation!N$9:N$153,MATCH($Q127,B_InitialSituation!$Q$9:$Q$153,0))*$X127)</f>
        <v>#VALUE!</v>
      </c>
      <c r="AG127" s="422"/>
      <c r="AH127" s="429">
        <f>INDEX(CHOOSE($V127,C_MergerSplitTransfer!$H$9:$H$68,C_MergerSplitTransfer!$K$9:$K$68),MATCH(R127,C_MergerSplitTransfer!$T$9:$T$68,0))</f>
      </c>
      <c r="AI127" s="430" t="e">
        <f>IF(AI$75&lt;=CNTR_YearMergerSplit,"",INDEX(B_InitialSituation!G$9:G$153,MATCH($R127,B_InitialSituation!$Q$9:$Q$153,0))*$AH127)</f>
        <v>#VALUE!</v>
      </c>
      <c r="AJ127" s="430" t="e">
        <f>IF(AJ$75&lt;=CNTR_YearMergerSplit,"",INDEX(B_InitialSituation!H$9:H$153,MATCH($R127,B_InitialSituation!$Q$9:$Q$153,0))*$AH127)</f>
        <v>#VALUE!</v>
      </c>
      <c r="AK127" s="430" t="e">
        <f>IF(AK$75&lt;=CNTR_YearMergerSplit,"",INDEX(B_InitialSituation!I$9:I$153,MATCH($R127,B_InitialSituation!$Q$9:$Q$153,0))*$AH127)</f>
        <v>#VALUE!</v>
      </c>
      <c r="AL127" s="430" t="e">
        <f>IF(AL$75&lt;=CNTR_YearMergerSplit,"",INDEX(B_InitialSituation!J$9:J$153,MATCH($R127,B_InitialSituation!$Q$9:$Q$153,0))*$AH127)</f>
        <v>#VALUE!</v>
      </c>
      <c r="AM127" s="430" t="e">
        <f>IF(AM$75&lt;=CNTR_YearMergerSplit,"",INDEX(B_InitialSituation!K$9:K$153,MATCH($R127,B_InitialSituation!$Q$9:$Q$153,0))*$AH127)</f>
        <v>#VALUE!</v>
      </c>
      <c r="AN127" s="430" t="e">
        <f>IF(AN$75&lt;=CNTR_YearMergerSplit,"",INDEX(B_InitialSituation!L$9:L$153,MATCH($R127,B_InitialSituation!$Q$9:$Q$153,0))*$AH127)</f>
        <v>#VALUE!</v>
      </c>
      <c r="AO127" s="430" t="e">
        <f>IF(AO$75&lt;=CNTR_YearMergerSplit,"",INDEX(B_InitialSituation!M$9:M$153,MATCH($R127,B_InitialSituation!$Q$9:$Q$153,0))*$AH127)</f>
        <v>#VALUE!</v>
      </c>
      <c r="AP127" s="430" t="e">
        <f>IF(AP$75&lt;=CNTR_YearMergerSplit,"",INDEX(B_InitialSituation!N$9:N$153,MATCH($R127,B_InitialSituation!$Q$9:$Q$153,0))*$AH127)</f>
        <v>#VALUE!</v>
      </c>
      <c r="AQ127" s="422"/>
    </row>
    <row r="128" spans="1:43" s="521" customFormat="1" ht="12.75" customHeight="1">
      <c r="A128" s="4"/>
      <c r="B128" s="5"/>
      <c r="C128" s="554">
        <v>6</v>
      </c>
      <c r="D128" s="1010">
        <f t="shared" si="46"/>
      </c>
      <c r="E128" s="1011"/>
      <c r="F128" s="1012"/>
      <c r="G128" s="556">
        <f t="shared" si="44"/>
      </c>
      <c r="H128" s="556">
        <f t="shared" si="35"/>
      </c>
      <c r="I128" s="556">
        <f t="shared" si="36"/>
      </c>
      <c r="J128" s="556">
        <f t="shared" si="37"/>
      </c>
      <c r="K128" s="556">
        <f t="shared" si="38"/>
      </c>
      <c r="L128" s="556">
        <f t="shared" si="39"/>
      </c>
      <c r="M128" s="556">
        <f t="shared" si="40"/>
      </c>
      <c r="N128" s="556">
        <f t="shared" si="41"/>
      </c>
      <c r="O128" s="322"/>
      <c r="P128" s="9"/>
      <c r="Q128" s="450" t="str">
        <f t="shared" si="42"/>
        <v>FInitial_1_</v>
      </c>
      <c r="R128" s="450" t="str">
        <f t="shared" si="43"/>
        <v>FInitial_2_</v>
      </c>
      <c r="S128" s="422"/>
      <c r="T128" s="452">
        <f>IF(COUNTIF(B_InitialSituation!$T$9:$T$153,$C128)=0,"",INDEX(B_InitialSituation!$D$9:$D$153,MATCH($C128,B_InitialSituation!$T$9:$T$153,0)))</f>
      </c>
      <c r="U128" s="422"/>
      <c r="V128" s="452">
        <f t="shared" si="45"/>
        <v>2</v>
      </c>
      <c r="W128" s="422"/>
      <c r="X128" s="429">
        <f>INDEX(CHOOSE($V128,C_MergerSplitTransfer!$H$9:$H$68,C_MergerSplitTransfer!$K$9:$K$68),MATCH(Q128,C_MergerSplitTransfer!$T$9:$T$68,0))</f>
      </c>
      <c r="Y128" s="430" t="e">
        <f>IF(Y$75&lt;=CNTR_YearMergerSplit,"",INDEX(B_InitialSituation!G$9:G$153,MATCH($Q128,B_InitialSituation!$Q$9:$Q$153,0))*$X128)</f>
        <v>#VALUE!</v>
      </c>
      <c r="Z128" s="430" t="e">
        <f>IF(Z$75&lt;=CNTR_YearMergerSplit,"",INDEX(B_InitialSituation!H$9:H$153,MATCH($Q128,B_InitialSituation!$Q$9:$Q$153,0))*$X128)</f>
        <v>#VALUE!</v>
      </c>
      <c r="AA128" s="430" t="e">
        <f>IF(AA$75&lt;=CNTR_YearMergerSplit,"",INDEX(B_InitialSituation!I$9:I$153,MATCH($Q128,B_InitialSituation!$Q$9:$Q$153,0))*$X128)</f>
        <v>#VALUE!</v>
      </c>
      <c r="AB128" s="430" t="e">
        <f>IF(AB$75&lt;=CNTR_YearMergerSplit,"",INDEX(B_InitialSituation!J$9:J$153,MATCH($Q128,B_InitialSituation!$Q$9:$Q$153,0))*$X128)</f>
        <v>#VALUE!</v>
      </c>
      <c r="AC128" s="430" t="e">
        <f>IF(AC$75&lt;=CNTR_YearMergerSplit,"",INDEX(B_InitialSituation!K$9:K$153,MATCH($Q128,B_InitialSituation!$Q$9:$Q$153,0))*$X128)</f>
        <v>#VALUE!</v>
      </c>
      <c r="AD128" s="430" t="e">
        <f>IF(AD$75&lt;=CNTR_YearMergerSplit,"",INDEX(B_InitialSituation!L$9:L$153,MATCH($Q128,B_InitialSituation!$Q$9:$Q$153,0))*$X128)</f>
        <v>#VALUE!</v>
      </c>
      <c r="AE128" s="430" t="e">
        <f>IF(AE$75&lt;=CNTR_YearMergerSplit,"",INDEX(B_InitialSituation!M$9:M$153,MATCH($Q128,B_InitialSituation!$Q$9:$Q$153,0))*$X128)</f>
        <v>#VALUE!</v>
      </c>
      <c r="AF128" s="430" t="e">
        <f>IF(AF$75&lt;=CNTR_YearMergerSplit,"",INDEX(B_InitialSituation!N$9:N$153,MATCH($Q128,B_InitialSituation!$Q$9:$Q$153,0))*$X128)</f>
        <v>#VALUE!</v>
      </c>
      <c r="AG128" s="422"/>
      <c r="AH128" s="429">
        <f>INDEX(CHOOSE($V128,C_MergerSplitTransfer!$H$9:$H$68,C_MergerSplitTransfer!$K$9:$K$68),MATCH(R128,C_MergerSplitTransfer!$T$9:$T$68,0))</f>
      </c>
      <c r="AI128" s="430" t="e">
        <f>IF(AI$75&lt;=CNTR_YearMergerSplit,"",INDEX(B_InitialSituation!G$9:G$153,MATCH($R128,B_InitialSituation!$Q$9:$Q$153,0))*$AH128)</f>
        <v>#VALUE!</v>
      </c>
      <c r="AJ128" s="430" t="e">
        <f>IF(AJ$75&lt;=CNTR_YearMergerSplit,"",INDEX(B_InitialSituation!H$9:H$153,MATCH($R128,B_InitialSituation!$Q$9:$Q$153,0))*$AH128)</f>
        <v>#VALUE!</v>
      </c>
      <c r="AK128" s="430" t="e">
        <f>IF(AK$75&lt;=CNTR_YearMergerSplit,"",INDEX(B_InitialSituation!I$9:I$153,MATCH($R128,B_InitialSituation!$Q$9:$Q$153,0))*$AH128)</f>
        <v>#VALUE!</v>
      </c>
      <c r="AL128" s="430" t="e">
        <f>IF(AL$75&lt;=CNTR_YearMergerSplit,"",INDEX(B_InitialSituation!J$9:J$153,MATCH($R128,B_InitialSituation!$Q$9:$Q$153,0))*$AH128)</f>
        <v>#VALUE!</v>
      </c>
      <c r="AM128" s="430" t="e">
        <f>IF(AM$75&lt;=CNTR_YearMergerSplit,"",INDEX(B_InitialSituation!K$9:K$153,MATCH($R128,B_InitialSituation!$Q$9:$Q$153,0))*$AH128)</f>
        <v>#VALUE!</v>
      </c>
      <c r="AN128" s="430" t="e">
        <f>IF(AN$75&lt;=CNTR_YearMergerSplit,"",INDEX(B_InitialSituation!L$9:L$153,MATCH($R128,B_InitialSituation!$Q$9:$Q$153,0))*$AH128)</f>
        <v>#VALUE!</v>
      </c>
      <c r="AO128" s="430" t="e">
        <f>IF(AO$75&lt;=CNTR_YearMergerSplit,"",INDEX(B_InitialSituation!M$9:M$153,MATCH($R128,B_InitialSituation!$Q$9:$Q$153,0))*$AH128)</f>
        <v>#VALUE!</v>
      </c>
      <c r="AP128" s="430" t="e">
        <f>IF(AP$75&lt;=CNTR_YearMergerSplit,"",INDEX(B_InitialSituation!N$9:N$153,MATCH($R128,B_InitialSituation!$Q$9:$Q$153,0))*$AH128)</f>
        <v>#VALUE!</v>
      </c>
      <c r="AQ128" s="422"/>
    </row>
    <row r="129" spans="1:43" s="521" customFormat="1" ht="12.75" customHeight="1">
      <c r="A129" s="4"/>
      <c r="B129" s="5"/>
      <c r="C129" s="554">
        <v>7</v>
      </c>
      <c r="D129" s="1010">
        <f t="shared" si="46"/>
      </c>
      <c r="E129" s="1011"/>
      <c r="F129" s="1012"/>
      <c r="G129" s="556">
        <f t="shared" si="44"/>
      </c>
      <c r="H129" s="556">
        <f t="shared" si="35"/>
      </c>
      <c r="I129" s="556">
        <f t="shared" si="36"/>
      </c>
      <c r="J129" s="556">
        <f t="shared" si="37"/>
      </c>
      <c r="K129" s="556">
        <f t="shared" si="38"/>
      </c>
      <c r="L129" s="556">
        <f t="shared" si="39"/>
      </c>
      <c r="M129" s="556">
        <f t="shared" si="40"/>
      </c>
      <c r="N129" s="556">
        <f t="shared" si="41"/>
      </c>
      <c r="O129" s="322"/>
      <c r="P129" s="9"/>
      <c r="Q129" s="450" t="str">
        <f t="shared" si="42"/>
        <v>FInitial_1_</v>
      </c>
      <c r="R129" s="450" t="str">
        <f t="shared" si="43"/>
        <v>FInitial_2_</v>
      </c>
      <c r="S129" s="422"/>
      <c r="T129" s="452">
        <f>IF(COUNTIF(B_InitialSituation!$T$9:$T$153,$C129)=0,"",INDEX(B_InitialSituation!$D$9:$D$153,MATCH($C129,B_InitialSituation!$T$9:$T$153,0)))</f>
      </c>
      <c r="U129" s="422"/>
      <c r="V129" s="452">
        <f t="shared" si="45"/>
        <v>2</v>
      </c>
      <c r="W129" s="422"/>
      <c r="X129" s="429">
        <f>INDEX(CHOOSE($V129,C_MergerSplitTransfer!$H$9:$H$68,C_MergerSplitTransfer!$K$9:$K$68),MATCH(Q129,C_MergerSplitTransfer!$T$9:$T$68,0))</f>
      </c>
      <c r="Y129" s="430" t="e">
        <f>IF(Y$75&lt;=CNTR_YearMergerSplit,"",INDEX(B_InitialSituation!G$9:G$153,MATCH($Q129,B_InitialSituation!$Q$9:$Q$153,0))*$X129)</f>
        <v>#VALUE!</v>
      </c>
      <c r="Z129" s="430" t="e">
        <f>IF(Z$75&lt;=CNTR_YearMergerSplit,"",INDEX(B_InitialSituation!H$9:H$153,MATCH($Q129,B_InitialSituation!$Q$9:$Q$153,0))*$X129)</f>
        <v>#VALUE!</v>
      </c>
      <c r="AA129" s="430" t="e">
        <f>IF(AA$75&lt;=CNTR_YearMergerSplit,"",INDEX(B_InitialSituation!I$9:I$153,MATCH($Q129,B_InitialSituation!$Q$9:$Q$153,0))*$X129)</f>
        <v>#VALUE!</v>
      </c>
      <c r="AB129" s="430" t="e">
        <f>IF(AB$75&lt;=CNTR_YearMergerSplit,"",INDEX(B_InitialSituation!J$9:J$153,MATCH($Q129,B_InitialSituation!$Q$9:$Q$153,0))*$X129)</f>
        <v>#VALUE!</v>
      </c>
      <c r="AC129" s="430" t="e">
        <f>IF(AC$75&lt;=CNTR_YearMergerSplit,"",INDEX(B_InitialSituation!K$9:K$153,MATCH($Q129,B_InitialSituation!$Q$9:$Q$153,0))*$X129)</f>
        <v>#VALUE!</v>
      </c>
      <c r="AD129" s="430" t="e">
        <f>IF(AD$75&lt;=CNTR_YearMergerSplit,"",INDEX(B_InitialSituation!L$9:L$153,MATCH($Q129,B_InitialSituation!$Q$9:$Q$153,0))*$X129)</f>
        <v>#VALUE!</v>
      </c>
      <c r="AE129" s="430" t="e">
        <f>IF(AE$75&lt;=CNTR_YearMergerSplit,"",INDEX(B_InitialSituation!M$9:M$153,MATCH($Q129,B_InitialSituation!$Q$9:$Q$153,0))*$X129)</f>
        <v>#VALUE!</v>
      </c>
      <c r="AF129" s="430" t="e">
        <f>IF(AF$75&lt;=CNTR_YearMergerSplit,"",INDEX(B_InitialSituation!N$9:N$153,MATCH($Q129,B_InitialSituation!$Q$9:$Q$153,0))*$X129)</f>
        <v>#VALUE!</v>
      </c>
      <c r="AG129" s="422"/>
      <c r="AH129" s="429">
        <f>INDEX(CHOOSE($V129,C_MergerSplitTransfer!$H$9:$H$68,C_MergerSplitTransfer!$K$9:$K$68),MATCH(R129,C_MergerSplitTransfer!$T$9:$T$68,0))</f>
      </c>
      <c r="AI129" s="430" t="e">
        <f>IF(AI$75&lt;=CNTR_YearMergerSplit,"",INDEX(B_InitialSituation!G$9:G$153,MATCH($R129,B_InitialSituation!$Q$9:$Q$153,0))*$AH129)</f>
        <v>#VALUE!</v>
      </c>
      <c r="AJ129" s="430" t="e">
        <f>IF(AJ$75&lt;=CNTR_YearMergerSplit,"",INDEX(B_InitialSituation!H$9:H$153,MATCH($R129,B_InitialSituation!$Q$9:$Q$153,0))*$AH129)</f>
        <v>#VALUE!</v>
      </c>
      <c r="AK129" s="430" t="e">
        <f>IF(AK$75&lt;=CNTR_YearMergerSplit,"",INDEX(B_InitialSituation!I$9:I$153,MATCH($R129,B_InitialSituation!$Q$9:$Q$153,0))*$AH129)</f>
        <v>#VALUE!</v>
      </c>
      <c r="AL129" s="430" t="e">
        <f>IF(AL$75&lt;=CNTR_YearMergerSplit,"",INDEX(B_InitialSituation!J$9:J$153,MATCH($R129,B_InitialSituation!$Q$9:$Q$153,0))*$AH129)</f>
        <v>#VALUE!</v>
      </c>
      <c r="AM129" s="430" t="e">
        <f>IF(AM$75&lt;=CNTR_YearMergerSplit,"",INDEX(B_InitialSituation!K$9:K$153,MATCH($R129,B_InitialSituation!$Q$9:$Q$153,0))*$AH129)</f>
        <v>#VALUE!</v>
      </c>
      <c r="AN129" s="430" t="e">
        <f>IF(AN$75&lt;=CNTR_YearMergerSplit,"",INDEX(B_InitialSituation!L$9:L$153,MATCH($R129,B_InitialSituation!$Q$9:$Q$153,0))*$AH129)</f>
        <v>#VALUE!</v>
      </c>
      <c r="AO129" s="430" t="e">
        <f>IF(AO$75&lt;=CNTR_YearMergerSplit,"",INDEX(B_InitialSituation!M$9:M$153,MATCH($R129,B_InitialSituation!$Q$9:$Q$153,0))*$AH129)</f>
        <v>#VALUE!</v>
      </c>
      <c r="AP129" s="430" t="e">
        <f>IF(AP$75&lt;=CNTR_YearMergerSplit,"",INDEX(B_InitialSituation!N$9:N$153,MATCH($R129,B_InitialSituation!$Q$9:$Q$153,0))*$AH129)</f>
        <v>#VALUE!</v>
      </c>
      <c r="AQ129" s="422"/>
    </row>
    <row r="130" spans="1:43" s="521" customFormat="1" ht="12.75" customHeight="1">
      <c r="A130" s="4"/>
      <c r="B130" s="5"/>
      <c r="C130" s="554">
        <v>8</v>
      </c>
      <c r="D130" s="1010">
        <f t="shared" si="46"/>
      </c>
      <c r="E130" s="1011"/>
      <c r="F130" s="1012"/>
      <c r="G130" s="556">
        <f t="shared" si="44"/>
      </c>
      <c r="H130" s="556">
        <f t="shared" si="35"/>
      </c>
      <c r="I130" s="556">
        <f t="shared" si="36"/>
      </c>
      <c r="J130" s="556">
        <f t="shared" si="37"/>
      </c>
      <c r="K130" s="556">
        <f t="shared" si="38"/>
      </c>
      <c r="L130" s="556">
        <f t="shared" si="39"/>
      </c>
      <c r="M130" s="556">
        <f t="shared" si="40"/>
      </c>
      <c r="N130" s="556">
        <f t="shared" si="41"/>
      </c>
      <c r="O130" s="322"/>
      <c r="P130" s="9"/>
      <c r="Q130" s="450" t="str">
        <f t="shared" si="42"/>
        <v>FInitial_1_</v>
      </c>
      <c r="R130" s="450" t="str">
        <f t="shared" si="43"/>
        <v>FInitial_2_</v>
      </c>
      <c r="S130" s="422"/>
      <c r="T130" s="452">
        <f>IF(COUNTIF(B_InitialSituation!$T$9:$T$153,$C130)=0,"",INDEX(B_InitialSituation!$D$9:$D$153,MATCH($C130,B_InitialSituation!$T$9:$T$153,0)))</f>
      </c>
      <c r="U130" s="422"/>
      <c r="V130" s="452">
        <f t="shared" si="45"/>
        <v>2</v>
      </c>
      <c r="W130" s="422"/>
      <c r="X130" s="429">
        <f>INDEX(CHOOSE($V130,C_MergerSplitTransfer!$H$9:$H$68,C_MergerSplitTransfer!$K$9:$K$68),MATCH(Q130,C_MergerSplitTransfer!$T$9:$T$68,0))</f>
      </c>
      <c r="Y130" s="430" t="e">
        <f>IF(Y$75&lt;=CNTR_YearMergerSplit,"",INDEX(B_InitialSituation!G$9:G$153,MATCH($Q130,B_InitialSituation!$Q$9:$Q$153,0))*$X130)</f>
        <v>#VALUE!</v>
      </c>
      <c r="Z130" s="430" t="e">
        <f>IF(Z$75&lt;=CNTR_YearMergerSplit,"",INDEX(B_InitialSituation!H$9:H$153,MATCH($Q130,B_InitialSituation!$Q$9:$Q$153,0))*$X130)</f>
        <v>#VALUE!</v>
      </c>
      <c r="AA130" s="430" t="e">
        <f>IF(AA$75&lt;=CNTR_YearMergerSplit,"",INDEX(B_InitialSituation!I$9:I$153,MATCH($Q130,B_InitialSituation!$Q$9:$Q$153,0))*$X130)</f>
        <v>#VALUE!</v>
      </c>
      <c r="AB130" s="430" t="e">
        <f>IF(AB$75&lt;=CNTR_YearMergerSplit,"",INDEX(B_InitialSituation!J$9:J$153,MATCH($Q130,B_InitialSituation!$Q$9:$Q$153,0))*$X130)</f>
        <v>#VALUE!</v>
      </c>
      <c r="AC130" s="430" t="e">
        <f>IF(AC$75&lt;=CNTR_YearMergerSplit,"",INDEX(B_InitialSituation!K$9:K$153,MATCH($Q130,B_InitialSituation!$Q$9:$Q$153,0))*$X130)</f>
        <v>#VALUE!</v>
      </c>
      <c r="AD130" s="430" t="e">
        <f>IF(AD$75&lt;=CNTR_YearMergerSplit,"",INDEX(B_InitialSituation!L$9:L$153,MATCH($Q130,B_InitialSituation!$Q$9:$Q$153,0))*$X130)</f>
        <v>#VALUE!</v>
      </c>
      <c r="AE130" s="430" t="e">
        <f>IF(AE$75&lt;=CNTR_YearMergerSplit,"",INDEX(B_InitialSituation!M$9:M$153,MATCH($Q130,B_InitialSituation!$Q$9:$Q$153,0))*$X130)</f>
        <v>#VALUE!</v>
      </c>
      <c r="AF130" s="430" t="e">
        <f>IF(AF$75&lt;=CNTR_YearMergerSplit,"",INDEX(B_InitialSituation!N$9:N$153,MATCH($Q130,B_InitialSituation!$Q$9:$Q$153,0))*$X130)</f>
        <v>#VALUE!</v>
      </c>
      <c r="AG130" s="422"/>
      <c r="AH130" s="429">
        <f>INDEX(CHOOSE($V130,C_MergerSplitTransfer!$H$9:$H$68,C_MergerSplitTransfer!$K$9:$K$68),MATCH(R130,C_MergerSplitTransfer!$T$9:$T$68,0))</f>
      </c>
      <c r="AI130" s="430" t="e">
        <f>IF(AI$75&lt;=CNTR_YearMergerSplit,"",INDEX(B_InitialSituation!G$9:G$153,MATCH($R130,B_InitialSituation!$Q$9:$Q$153,0))*$AH130)</f>
        <v>#VALUE!</v>
      </c>
      <c r="AJ130" s="430" t="e">
        <f>IF(AJ$75&lt;=CNTR_YearMergerSplit,"",INDEX(B_InitialSituation!H$9:H$153,MATCH($R130,B_InitialSituation!$Q$9:$Q$153,0))*$AH130)</f>
        <v>#VALUE!</v>
      </c>
      <c r="AK130" s="430" t="e">
        <f>IF(AK$75&lt;=CNTR_YearMergerSplit,"",INDEX(B_InitialSituation!I$9:I$153,MATCH($R130,B_InitialSituation!$Q$9:$Q$153,0))*$AH130)</f>
        <v>#VALUE!</v>
      </c>
      <c r="AL130" s="430" t="e">
        <f>IF(AL$75&lt;=CNTR_YearMergerSplit,"",INDEX(B_InitialSituation!J$9:J$153,MATCH($R130,B_InitialSituation!$Q$9:$Q$153,0))*$AH130)</f>
        <v>#VALUE!</v>
      </c>
      <c r="AM130" s="430" t="e">
        <f>IF(AM$75&lt;=CNTR_YearMergerSplit,"",INDEX(B_InitialSituation!K$9:K$153,MATCH($R130,B_InitialSituation!$Q$9:$Q$153,0))*$AH130)</f>
        <v>#VALUE!</v>
      </c>
      <c r="AN130" s="430" t="e">
        <f>IF(AN$75&lt;=CNTR_YearMergerSplit,"",INDEX(B_InitialSituation!L$9:L$153,MATCH($R130,B_InitialSituation!$Q$9:$Q$153,0))*$AH130)</f>
        <v>#VALUE!</v>
      </c>
      <c r="AO130" s="430" t="e">
        <f>IF(AO$75&lt;=CNTR_YearMergerSplit,"",INDEX(B_InitialSituation!M$9:M$153,MATCH($R130,B_InitialSituation!$Q$9:$Q$153,0))*$AH130)</f>
        <v>#VALUE!</v>
      </c>
      <c r="AP130" s="430" t="e">
        <f>IF(AP$75&lt;=CNTR_YearMergerSplit,"",INDEX(B_InitialSituation!N$9:N$153,MATCH($R130,B_InitialSituation!$Q$9:$Q$153,0))*$AH130)</f>
        <v>#VALUE!</v>
      </c>
      <c r="AQ130" s="422"/>
    </row>
    <row r="131" spans="1:43" s="521" customFormat="1" ht="12.75" customHeight="1">
      <c r="A131" s="4"/>
      <c r="B131" s="5"/>
      <c r="C131" s="554">
        <v>9</v>
      </c>
      <c r="D131" s="1010">
        <f t="shared" si="46"/>
      </c>
      <c r="E131" s="1011"/>
      <c r="F131" s="1012"/>
      <c r="G131" s="556">
        <f t="shared" si="44"/>
      </c>
      <c r="H131" s="556">
        <f t="shared" si="35"/>
      </c>
      <c r="I131" s="556">
        <f t="shared" si="36"/>
      </c>
      <c r="J131" s="556">
        <f t="shared" si="37"/>
      </c>
      <c r="K131" s="556">
        <f t="shared" si="38"/>
      </c>
      <c r="L131" s="556">
        <f t="shared" si="39"/>
      </c>
      <c r="M131" s="556">
        <f t="shared" si="40"/>
      </c>
      <c r="N131" s="556">
        <f t="shared" si="41"/>
      </c>
      <c r="O131" s="322"/>
      <c r="P131" s="9"/>
      <c r="Q131" s="450" t="str">
        <f t="shared" si="42"/>
        <v>FInitial_1_</v>
      </c>
      <c r="R131" s="450" t="str">
        <f t="shared" si="43"/>
        <v>FInitial_2_</v>
      </c>
      <c r="S131" s="422"/>
      <c r="T131" s="452">
        <f>IF(COUNTIF(B_InitialSituation!$T$9:$T$153,$C131)=0,"",INDEX(B_InitialSituation!$D$9:$D$153,MATCH($C131,B_InitialSituation!$T$9:$T$153,0)))</f>
      </c>
      <c r="U131" s="422"/>
      <c r="V131" s="452">
        <f t="shared" si="45"/>
        <v>2</v>
      </c>
      <c r="W131" s="422"/>
      <c r="X131" s="429">
        <f>INDEX(CHOOSE($V131,C_MergerSplitTransfer!$H$9:$H$68,C_MergerSplitTransfer!$K$9:$K$68),MATCH(Q131,C_MergerSplitTransfer!$T$9:$T$68,0))</f>
      </c>
      <c r="Y131" s="430" t="e">
        <f>IF(Y$75&lt;=CNTR_YearMergerSplit,"",INDEX(B_InitialSituation!G$9:G$153,MATCH($Q131,B_InitialSituation!$Q$9:$Q$153,0))*$X131)</f>
        <v>#VALUE!</v>
      </c>
      <c r="Z131" s="430" t="e">
        <f>IF(Z$75&lt;=CNTR_YearMergerSplit,"",INDEX(B_InitialSituation!H$9:H$153,MATCH($Q131,B_InitialSituation!$Q$9:$Q$153,0))*$X131)</f>
        <v>#VALUE!</v>
      </c>
      <c r="AA131" s="430" t="e">
        <f>IF(AA$75&lt;=CNTR_YearMergerSplit,"",INDEX(B_InitialSituation!I$9:I$153,MATCH($Q131,B_InitialSituation!$Q$9:$Q$153,0))*$X131)</f>
        <v>#VALUE!</v>
      </c>
      <c r="AB131" s="430" t="e">
        <f>IF(AB$75&lt;=CNTR_YearMergerSplit,"",INDEX(B_InitialSituation!J$9:J$153,MATCH($Q131,B_InitialSituation!$Q$9:$Q$153,0))*$X131)</f>
        <v>#VALUE!</v>
      </c>
      <c r="AC131" s="430" t="e">
        <f>IF(AC$75&lt;=CNTR_YearMergerSplit,"",INDEX(B_InitialSituation!K$9:K$153,MATCH($Q131,B_InitialSituation!$Q$9:$Q$153,0))*$X131)</f>
        <v>#VALUE!</v>
      </c>
      <c r="AD131" s="430" t="e">
        <f>IF(AD$75&lt;=CNTR_YearMergerSplit,"",INDEX(B_InitialSituation!L$9:L$153,MATCH($Q131,B_InitialSituation!$Q$9:$Q$153,0))*$X131)</f>
        <v>#VALUE!</v>
      </c>
      <c r="AE131" s="430" t="e">
        <f>IF(AE$75&lt;=CNTR_YearMergerSplit,"",INDEX(B_InitialSituation!M$9:M$153,MATCH($Q131,B_InitialSituation!$Q$9:$Q$153,0))*$X131)</f>
        <v>#VALUE!</v>
      </c>
      <c r="AF131" s="430" t="e">
        <f>IF(AF$75&lt;=CNTR_YearMergerSplit,"",INDEX(B_InitialSituation!N$9:N$153,MATCH($Q131,B_InitialSituation!$Q$9:$Q$153,0))*$X131)</f>
        <v>#VALUE!</v>
      </c>
      <c r="AG131" s="422"/>
      <c r="AH131" s="429">
        <f>INDEX(CHOOSE($V131,C_MergerSplitTransfer!$H$9:$H$68,C_MergerSplitTransfer!$K$9:$K$68),MATCH(R131,C_MergerSplitTransfer!$T$9:$T$68,0))</f>
      </c>
      <c r="AI131" s="430" t="e">
        <f>IF(AI$75&lt;=CNTR_YearMergerSplit,"",INDEX(B_InitialSituation!G$9:G$153,MATCH($R131,B_InitialSituation!$Q$9:$Q$153,0))*$AH131)</f>
        <v>#VALUE!</v>
      </c>
      <c r="AJ131" s="430" t="e">
        <f>IF(AJ$75&lt;=CNTR_YearMergerSplit,"",INDEX(B_InitialSituation!H$9:H$153,MATCH($R131,B_InitialSituation!$Q$9:$Q$153,0))*$AH131)</f>
        <v>#VALUE!</v>
      </c>
      <c r="AK131" s="430" t="e">
        <f>IF(AK$75&lt;=CNTR_YearMergerSplit,"",INDEX(B_InitialSituation!I$9:I$153,MATCH($R131,B_InitialSituation!$Q$9:$Q$153,0))*$AH131)</f>
        <v>#VALUE!</v>
      </c>
      <c r="AL131" s="430" t="e">
        <f>IF(AL$75&lt;=CNTR_YearMergerSplit,"",INDEX(B_InitialSituation!J$9:J$153,MATCH($R131,B_InitialSituation!$Q$9:$Q$153,0))*$AH131)</f>
        <v>#VALUE!</v>
      </c>
      <c r="AM131" s="430" t="e">
        <f>IF(AM$75&lt;=CNTR_YearMergerSplit,"",INDEX(B_InitialSituation!K$9:K$153,MATCH($R131,B_InitialSituation!$Q$9:$Q$153,0))*$AH131)</f>
        <v>#VALUE!</v>
      </c>
      <c r="AN131" s="430" t="e">
        <f>IF(AN$75&lt;=CNTR_YearMergerSplit,"",INDEX(B_InitialSituation!L$9:L$153,MATCH($R131,B_InitialSituation!$Q$9:$Q$153,0))*$AH131)</f>
        <v>#VALUE!</v>
      </c>
      <c r="AO131" s="430" t="e">
        <f>IF(AO$75&lt;=CNTR_YearMergerSplit,"",INDEX(B_InitialSituation!M$9:M$153,MATCH($R131,B_InitialSituation!$Q$9:$Q$153,0))*$AH131)</f>
        <v>#VALUE!</v>
      </c>
      <c r="AP131" s="430" t="e">
        <f>IF(AP$75&lt;=CNTR_YearMergerSplit,"",INDEX(B_InitialSituation!N$9:N$153,MATCH($R131,B_InitialSituation!$Q$9:$Q$153,0))*$AH131)</f>
        <v>#VALUE!</v>
      </c>
      <c r="AQ131" s="422"/>
    </row>
    <row r="132" spans="1:43" s="521" customFormat="1" ht="12.75" customHeight="1" thickBot="1">
      <c r="A132" s="4"/>
      <c r="B132" s="5"/>
      <c r="C132" s="557">
        <v>10</v>
      </c>
      <c r="D132" s="1013">
        <f t="shared" si="46"/>
      </c>
      <c r="E132" s="1014"/>
      <c r="F132" s="1015"/>
      <c r="G132" s="558">
        <f t="shared" si="44"/>
      </c>
      <c r="H132" s="558">
        <f t="shared" si="35"/>
      </c>
      <c r="I132" s="558">
        <f t="shared" si="36"/>
      </c>
      <c r="J132" s="558">
        <f t="shared" si="37"/>
      </c>
      <c r="K132" s="558">
        <f t="shared" si="38"/>
      </c>
      <c r="L132" s="558">
        <f t="shared" si="39"/>
      </c>
      <c r="M132" s="558">
        <f t="shared" si="40"/>
      </c>
      <c r="N132" s="558">
        <f t="shared" si="41"/>
      </c>
      <c r="O132" s="322"/>
      <c r="P132" s="9"/>
      <c r="Q132" s="450" t="str">
        <f t="shared" si="42"/>
        <v>FInitial_1_</v>
      </c>
      <c r="R132" s="450" t="str">
        <f t="shared" si="43"/>
        <v>FInitial_2_</v>
      </c>
      <c r="S132" s="422"/>
      <c r="T132" s="453">
        <f>IF(COUNTIF(B_InitialSituation!$T$9:$T$153,$C132)=0,"",INDEX(B_InitialSituation!$D$9:$D$153,MATCH($C132,B_InitialSituation!$T$9:$T$153,0)))</f>
      </c>
      <c r="U132" s="422"/>
      <c r="V132" s="452">
        <f t="shared" si="45"/>
        <v>2</v>
      </c>
      <c r="W132" s="422"/>
      <c r="X132" s="431">
        <f>INDEX(CHOOSE($V132,C_MergerSplitTransfer!$H$9:$H$68,C_MergerSplitTransfer!$K$9:$K$68),MATCH(Q132,C_MergerSplitTransfer!$T$9:$T$68,0))</f>
      </c>
      <c r="Y132" s="432" t="e">
        <f>IF(Y$75&lt;=CNTR_YearMergerSplit,"",INDEX(B_InitialSituation!G$9:G$153,MATCH($Q132,B_InitialSituation!$Q$9:$Q$153,0))*$X132)</f>
        <v>#VALUE!</v>
      </c>
      <c r="Z132" s="432" t="e">
        <f>IF(Z$75&lt;=CNTR_YearMergerSplit,"",INDEX(B_InitialSituation!H$9:H$153,MATCH($Q132,B_InitialSituation!$Q$9:$Q$153,0))*$X132)</f>
        <v>#VALUE!</v>
      </c>
      <c r="AA132" s="432" t="e">
        <f>IF(AA$75&lt;=CNTR_YearMergerSplit,"",INDEX(B_InitialSituation!I$9:I$153,MATCH($Q132,B_InitialSituation!$Q$9:$Q$153,0))*$X132)</f>
        <v>#VALUE!</v>
      </c>
      <c r="AB132" s="432" t="e">
        <f>IF(AB$75&lt;=CNTR_YearMergerSplit,"",INDEX(B_InitialSituation!J$9:J$153,MATCH($Q132,B_InitialSituation!$Q$9:$Q$153,0))*$X132)</f>
        <v>#VALUE!</v>
      </c>
      <c r="AC132" s="432" t="e">
        <f>IF(AC$75&lt;=CNTR_YearMergerSplit,"",INDEX(B_InitialSituation!K$9:K$153,MATCH($Q132,B_InitialSituation!$Q$9:$Q$153,0))*$X132)</f>
        <v>#VALUE!</v>
      </c>
      <c r="AD132" s="432" t="e">
        <f>IF(AD$75&lt;=CNTR_YearMergerSplit,"",INDEX(B_InitialSituation!L$9:L$153,MATCH($Q132,B_InitialSituation!$Q$9:$Q$153,0))*$X132)</f>
        <v>#VALUE!</v>
      </c>
      <c r="AE132" s="432" t="e">
        <f>IF(AE$75&lt;=CNTR_YearMergerSplit,"",INDEX(B_InitialSituation!M$9:M$153,MATCH($Q132,B_InitialSituation!$Q$9:$Q$153,0))*$X132)</f>
        <v>#VALUE!</v>
      </c>
      <c r="AF132" s="432" t="e">
        <f>IF(AF$75&lt;=CNTR_YearMergerSplit,"",INDEX(B_InitialSituation!N$9:N$153,MATCH($Q132,B_InitialSituation!$Q$9:$Q$153,0))*$X132)</f>
        <v>#VALUE!</v>
      </c>
      <c r="AG132" s="422"/>
      <c r="AH132" s="431">
        <f>INDEX(CHOOSE($V132,C_MergerSplitTransfer!$H$9:$H$68,C_MergerSplitTransfer!$K$9:$K$68),MATCH(R132,C_MergerSplitTransfer!$T$9:$T$68,0))</f>
      </c>
      <c r="AI132" s="432" t="e">
        <f>IF(AI$75&lt;=CNTR_YearMergerSplit,"",INDEX(B_InitialSituation!G$9:G$153,MATCH($R132,B_InitialSituation!$Q$9:$Q$153,0))*$AH132)</f>
        <v>#VALUE!</v>
      </c>
      <c r="AJ132" s="432" t="e">
        <f>IF(AJ$75&lt;=CNTR_YearMergerSplit,"",INDEX(B_InitialSituation!H$9:H$153,MATCH($R132,B_InitialSituation!$Q$9:$Q$153,0))*$AH132)</f>
        <v>#VALUE!</v>
      </c>
      <c r="AK132" s="432" t="e">
        <f>IF(AK$75&lt;=CNTR_YearMergerSplit,"",INDEX(B_InitialSituation!I$9:I$153,MATCH($R132,B_InitialSituation!$Q$9:$Q$153,0))*$AH132)</f>
        <v>#VALUE!</v>
      </c>
      <c r="AL132" s="432" t="e">
        <f>IF(AL$75&lt;=CNTR_YearMergerSplit,"",INDEX(B_InitialSituation!J$9:J$153,MATCH($R132,B_InitialSituation!$Q$9:$Q$153,0))*$AH132)</f>
        <v>#VALUE!</v>
      </c>
      <c r="AM132" s="432" t="e">
        <f>IF(AM$75&lt;=CNTR_YearMergerSplit,"",INDEX(B_InitialSituation!K$9:K$153,MATCH($R132,B_InitialSituation!$Q$9:$Q$153,0))*$AH132)</f>
        <v>#VALUE!</v>
      </c>
      <c r="AN132" s="432" t="e">
        <f>IF(AN$75&lt;=CNTR_YearMergerSplit,"",INDEX(B_InitialSituation!L$9:L$153,MATCH($R132,B_InitialSituation!$Q$9:$Q$153,0))*$AH132)</f>
        <v>#VALUE!</v>
      </c>
      <c r="AO132" s="432" t="e">
        <f>IF(AO$75&lt;=CNTR_YearMergerSplit,"",INDEX(B_InitialSituation!M$9:M$153,MATCH($R132,B_InitialSituation!$Q$9:$Q$153,0))*$AH132)</f>
        <v>#VALUE!</v>
      </c>
      <c r="AP132" s="432" t="e">
        <f>IF(AP$75&lt;=CNTR_YearMergerSplit,"",INDEX(B_InitialSituation!N$9:N$153,MATCH($R132,B_InitialSituation!$Q$9:$Q$153,0))*$AH132)</f>
        <v>#VALUE!</v>
      </c>
      <c r="AQ132" s="422"/>
    </row>
    <row r="133" spans="1:43" s="521" customFormat="1" ht="12.75" customHeight="1">
      <c r="A133" s="4"/>
      <c r="B133" s="5"/>
      <c r="C133" s="554">
        <v>11</v>
      </c>
      <c r="D133" s="1016" t="str">
        <f aca="true" t="shared" si="47" ref="D133:D138">INDEX(EUconst_FallBackListNames,C133-10)</f>
        <v>Sottoimpianto oggetto di un parametro di riferimento relativo al calore, CL</v>
      </c>
      <c r="E133" s="1017"/>
      <c r="F133" s="1018"/>
      <c r="G133" s="555">
        <f t="shared" si="44"/>
      </c>
      <c r="H133" s="555">
        <f t="shared" si="35"/>
      </c>
      <c r="I133" s="555">
        <f t="shared" si="36"/>
      </c>
      <c r="J133" s="555">
        <f t="shared" si="37"/>
      </c>
      <c r="K133" s="555">
        <f t="shared" si="38"/>
      </c>
      <c r="L133" s="555">
        <f t="shared" si="39"/>
      </c>
      <c r="M133" s="555">
        <f t="shared" si="40"/>
      </c>
      <c r="N133" s="555">
        <f t="shared" si="41"/>
      </c>
      <c r="O133" s="322"/>
      <c r="P133" s="9"/>
      <c r="Q133" s="450" t="str">
        <f t="shared" si="42"/>
        <v>FInitial_1_Sottoimpianto oggetto di un parametro di riferimento relativo al calore, CL</v>
      </c>
      <c r="R133" s="450" t="str">
        <f t="shared" si="43"/>
        <v>FInitial_2_Sottoimpianto oggetto di un parametro di riferimento relativo al calore, CL</v>
      </c>
      <c r="S133" s="422"/>
      <c r="T133" s="422"/>
      <c r="U133" s="422"/>
      <c r="V133" s="452">
        <f t="shared" si="45"/>
        <v>2</v>
      </c>
      <c r="W133" s="422"/>
      <c r="X133" s="427">
        <f>INDEX(CHOOSE($V133,C_MergerSplitTransfer!$H$9:$H$68,C_MergerSplitTransfer!$K$9:$K$68),MATCH(Q133,C_MergerSplitTransfer!$T$9:$T$68,0))</f>
      </c>
      <c r="Y133" s="428" t="e">
        <f>IF(Y$75&lt;=CNTR_YearMergerSplit,"",INDEX(B_InitialSituation!G$9:G$153,MATCH($Q133,B_InitialSituation!$Q$9:$Q$153,0))*$X133)</f>
        <v>#VALUE!</v>
      </c>
      <c r="Z133" s="428" t="e">
        <f>IF(Z$75&lt;=CNTR_YearMergerSplit,"",INDEX(B_InitialSituation!H$9:H$153,MATCH($Q133,B_InitialSituation!$Q$9:$Q$153,0))*$X133)</f>
        <v>#VALUE!</v>
      </c>
      <c r="AA133" s="428" t="e">
        <f>IF(AA$75&lt;=CNTR_YearMergerSplit,"",INDEX(B_InitialSituation!I$9:I$153,MATCH($Q133,B_InitialSituation!$Q$9:$Q$153,0))*$X133)</f>
        <v>#VALUE!</v>
      </c>
      <c r="AB133" s="428" t="e">
        <f>IF(AB$75&lt;=CNTR_YearMergerSplit,"",INDEX(B_InitialSituation!J$9:J$153,MATCH($Q133,B_InitialSituation!$Q$9:$Q$153,0))*$X133)</f>
        <v>#VALUE!</v>
      </c>
      <c r="AC133" s="428" t="e">
        <f>IF(AC$75&lt;=CNTR_YearMergerSplit,"",INDEX(B_InitialSituation!K$9:K$153,MATCH($Q133,B_InitialSituation!$Q$9:$Q$153,0))*$X133)</f>
        <v>#VALUE!</v>
      </c>
      <c r="AD133" s="428" t="e">
        <f>IF(AD$75&lt;=CNTR_YearMergerSplit,"",INDEX(B_InitialSituation!L$9:L$153,MATCH($Q133,B_InitialSituation!$Q$9:$Q$153,0))*$X133)</f>
        <v>#VALUE!</v>
      </c>
      <c r="AE133" s="428" t="e">
        <f>IF(AE$75&lt;=CNTR_YearMergerSplit,"",INDEX(B_InitialSituation!M$9:M$153,MATCH($Q133,B_InitialSituation!$Q$9:$Q$153,0))*$X133)</f>
        <v>#VALUE!</v>
      </c>
      <c r="AF133" s="428" t="e">
        <f>IF(AF$75&lt;=CNTR_YearMergerSplit,"",INDEX(B_InitialSituation!N$9:N$153,MATCH($Q133,B_InitialSituation!$Q$9:$Q$153,0))*$X133)</f>
        <v>#VALUE!</v>
      </c>
      <c r="AG133" s="422"/>
      <c r="AH133" s="427">
        <f>INDEX(CHOOSE($V133,C_MergerSplitTransfer!$H$9:$H$68,C_MergerSplitTransfer!$K$9:$K$68),MATCH(R133,C_MergerSplitTransfer!$T$9:$T$68,0))</f>
      </c>
      <c r="AI133" s="428" t="e">
        <f>IF(AI$75&lt;=CNTR_YearMergerSplit,"",INDEX(B_InitialSituation!G$9:G$153,MATCH($R133,B_InitialSituation!$Q$9:$Q$153,0))*$AH133)</f>
        <v>#VALUE!</v>
      </c>
      <c r="AJ133" s="428" t="e">
        <f>IF(AJ$75&lt;=CNTR_YearMergerSplit,"",INDEX(B_InitialSituation!H$9:H$153,MATCH($R133,B_InitialSituation!$Q$9:$Q$153,0))*$AH133)</f>
        <v>#VALUE!</v>
      </c>
      <c r="AK133" s="428" t="e">
        <f>IF(AK$75&lt;=CNTR_YearMergerSplit,"",INDEX(B_InitialSituation!I$9:I$153,MATCH($R133,B_InitialSituation!$Q$9:$Q$153,0))*$AH133)</f>
        <v>#VALUE!</v>
      </c>
      <c r="AL133" s="428" t="e">
        <f>IF(AL$75&lt;=CNTR_YearMergerSplit,"",INDEX(B_InitialSituation!J$9:J$153,MATCH($R133,B_InitialSituation!$Q$9:$Q$153,0))*$AH133)</f>
        <v>#VALUE!</v>
      </c>
      <c r="AM133" s="428" t="e">
        <f>IF(AM$75&lt;=CNTR_YearMergerSplit,"",INDEX(B_InitialSituation!K$9:K$153,MATCH($R133,B_InitialSituation!$Q$9:$Q$153,0))*$AH133)</f>
        <v>#VALUE!</v>
      </c>
      <c r="AN133" s="428" t="e">
        <f>IF(AN$75&lt;=CNTR_YearMergerSplit,"",INDEX(B_InitialSituation!L$9:L$153,MATCH($R133,B_InitialSituation!$Q$9:$Q$153,0))*$AH133)</f>
        <v>#VALUE!</v>
      </c>
      <c r="AO133" s="428" t="e">
        <f>IF(AO$75&lt;=CNTR_YearMergerSplit,"",INDEX(B_InitialSituation!M$9:M$153,MATCH($R133,B_InitialSituation!$Q$9:$Q$153,0))*$AH133)</f>
        <v>#VALUE!</v>
      </c>
      <c r="AP133" s="428" t="e">
        <f>IF(AP$75&lt;=CNTR_YearMergerSplit,"",INDEX(B_InitialSituation!N$9:N$153,MATCH($R133,B_InitialSituation!$Q$9:$Q$153,0))*$AH133)</f>
        <v>#VALUE!</v>
      </c>
      <c r="AQ133" s="422"/>
    </row>
    <row r="134" spans="1:43" s="521" customFormat="1" ht="12.75" customHeight="1">
      <c r="A134" s="4"/>
      <c r="B134" s="5"/>
      <c r="C134" s="554">
        <v>12</v>
      </c>
      <c r="D134" s="999" t="str">
        <f t="shared" si="47"/>
        <v>Sottoimpianto oggetto di un parametro di riferimento relativo al calore, non CL</v>
      </c>
      <c r="E134" s="1000"/>
      <c r="F134" s="1001"/>
      <c r="G134" s="556">
        <f t="shared" si="44"/>
      </c>
      <c r="H134" s="556">
        <f t="shared" si="35"/>
      </c>
      <c r="I134" s="556">
        <f t="shared" si="36"/>
      </c>
      <c r="J134" s="556">
        <f t="shared" si="37"/>
      </c>
      <c r="K134" s="556">
        <f t="shared" si="38"/>
      </c>
      <c r="L134" s="556">
        <f t="shared" si="39"/>
      </c>
      <c r="M134" s="556">
        <f t="shared" si="40"/>
      </c>
      <c r="N134" s="556">
        <f t="shared" si="41"/>
      </c>
      <c r="O134" s="322"/>
      <c r="P134" s="9"/>
      <c r="Q134" s="450" t="str">
        <f t="shared" si="42"/>
        <v>FInitial_1_Sottoimpianto oggetto di un parametro di riferimento relativo al calore, non CL</v>
      </c>
      <c r="R134" s="450" t="str">
        <f t="shared" si="43"/>
        <v>FInitial_2_Sottoimpianto oggetto di un parametro di riferimento relativo al calore, non CL</v>
      </c>
      <c r="S134" s="422"/>
      <c r="T134" s="422"/>
      <c r="U134" s="422"/>
      <c r="V134" s="452">
        <f t="shared" si="45"/>
        <v>2</v>
      </c>
      <c r="W134" s="422"/>
      <c r="X134" s="429">
        <f>INDEX(CHOOSE($V134,C_MergerSplitTransfer!$H$9:$H$68,C_MergerSplitTransfer!$K$9:$K$68),MATCH(Q134,C_MergerSplitTransfer!$T$9:$T$68,0))</f>
      </c>
      <c r="Y134" s="430" t="e">
        <f>IF(Y$75&lt;=CNTR_YearMergerSplit,"",INDEX(B_InitialSituation!G$9:G$153,MATCH($Q134,B_InitialSituation!$Q$9:$Q$153,0))*$X134)</f>
        <v>#VALUE!</v>
      </c>
      <c r="Z134" s="430" t="e">
        <f>IF(Z$75&lt;=CNTR_YearMergerSplit,"",INDEX(B_InitialSituation!H$9:H$153,MATCH($Q134,B_InitialSituation!$Q$9:$Q$153,0))*$X134)</f>
        <v>#VALUE!</v>
      </c>
      <c r="AA134" s="430" t="e">
        <f>IF(AA$75&lt;=CNTR_YearMergerSplit,"",INDEX(B_InitialSituation!I$9:I$153,MATCH($Q134,B_InitialSituation!$Q$9:$Q$153,0))*$X134)</f>
        <v>#VALUE!</v>
      </c>
      <c r="AB134" s="430" t="e">
        <f>IF(AB$75&lt;=CNTR_YearMergerSplit,"",INDEX(B_InitialSituation!J$9:J$153,MATCH($Q134,B_InitialSituation!$Q$9:$Q$153,0))*$X134)</f>
        <v>#VALUE!</v>
      </c>
      <c r="AC134" s="430" t="e">
        <f>IF(AC$75&lt;=CNTR_YearMergerSplit,"",INDEX(B_InitialSituation!K$9:K$153,MATCH($Q134,B_InitialSituation!$Q$9:$Q$153,0))*$X134)</f>
        <v>#VALUE!</v>
      </c>
      <c r="AD134" s="430" t="e">
        <f>IF(AD$75&lt;=CNTR_YearMergerSplit,"",INDEX(B_InitialSituation!L$9:L$153,MATCH($Q134,B_InitialSituation!$Q$9:$Q$153,0))*$X134)</f>
        <v>#VALUE!</v>
      </c>
      <c r="AE134" s="430" t="e">
        <f>IF(AE$75&lt;=CNTR_YearMergerSplit,"",INDEX(B_InitialSituation!M$9:M$153,MATCH($Q134,B_InitialSituation!$Q$9:$Q$153,0))*$X134)</f>
        <v>#VALUE!</v>
      </c>
      <c r="AF134" s="430" t="e">
        <f>IF(AF$75&lt;=CNTR_YearMergerSplit,"",INDEX(B_InitialSituation!N$9:N$153,MATCH($Q134,B_InitialSituation!$Q$9:$Q$153,0))*$X134)</f>
        <v>#VALUE!</v>
      </c>
      <c r="AG134" s="422"/>
      <c r="AH134" s="429">
        <f>INDEX(CHOOSE($V134,C_MergerSplitTransfer!$H$9:$H$68,C_MergerSplitTransfer!$K$9:$K$68),MATCH(R134,C_MergerSplitTransfer!$T$9:$T$68,0))</f>
      </c>
      <c r="AI134" s="430" t="e">
        <f>IF(AI$75&lt;=CNTR_YearMergerSplit,"",INDEX(B_InitialSituation!G$9:G$153,MATCH($R134,B_InitialSituation!$Q$9:$Q$153,0))*$AH134)</f>
        <v>#VALUE!</v>
      </c>
      <c r="AJ134" s="430" t="e">
        <f>IF(AJ$75&lt;=CNTR_YearMergerSplit,"",INDEX(B_InitialSituation!H$9:H$153,MATCH($R134,B_InitialSituation!$Q$9:$Q$153,0))*$AH134)</f>
        <v>#VALUE!</v>
      </c>
      <c r="AK134" s="430" t="e">
        <f>IF(AK$75&lt;=CNTR_YearMergerSplit,"",INDEX(B_InitialSituation!I$9:I$153,MATCH($R134,B_InitialSituation!$Q$9:$Q$153,0))*$AH134)</f>
        <v>#VALUE!</v>
      </c>
      <c r="AL134" s="430" t="e">
        <f>IF(AL$75&lt;=CNTR_YearMergerSplit,"",INDEX(B_InitialSituation!J$9:J$153,MATCH($R134,B_InitialSituation!$Q$9:$Q$153,0))*$AH134)</f>
        <v>#VALUE!</v>
      </c>
      <c r="AM134" s="430" t="e">
        <f>IF(AM$75&lt;=CNTR_YearMergerSplit,"",INDEX(B_InitialSituation!K$9:K$153,MATCH($R134,B_InitialSituation!$Q$9:$Q$153,0))*$AH134)</f>
        <v>#VALUE!</v>
      </c>
      <c r="AN134" s="430" t="e">
        <f>IF(AN$75&lt;=CNTR_YearMergerSplit,"",INDEX(B_InitialSituation!L$9:L$153,MATCH($R134,B_InitialSituation!$Q$9:$Q$153,0))*$AH134)</f>
        <v>#VALUE!</v>
      </c>
      <c r="AO134" s="430" t="e">
        <f>IF(AO$75&lt;=CNTR_YearMergerSplit,"",INDEX(B_InitialSituation!M$9:M$153,MATCH($R134,B_InitialSituation!$Q$9:$Q$153,0))*$AH134)</f>
        <v>#VALUE!</v>
      </c>
      <c r="AP134" s="430" t="e">
        <f>IF(AP$75&lt;=CNTR_YearMergerSplit,"",INDEX(B_InitialSituation!N$9:N$153,MATCH($R134,B_InitialSituation!$Q$9:$Q$153,0))*$AH134)</f>
        <v>#VALUE!</v>
      </c>
      <c r="AQ134" s="422"/>
    </row>
    <row r="135" spans="1:43" s="521" customFormat="1" ht="12.75" customHeight="1">
      <c r="A135" s="4"/>
      <c r="B135" s="5"/>
      <c r="C135" s="554">
        <v>13</v>
      </c>
      <c r="D135" s="999" t="str">
        <f t="shared" si="47"/>
        <v>Sottoimpianto oggetto di un parametro di riferimento relativo al combustibile, CL</v>
      </c>
      <c r="E135" s="1000"/>
      <c r="F135" s="1001"/>
      <c r="G135" s="556">
        <f t="shared" si="44"/>
      </c>
      <c r="H135" s="556">
        <f t="shared" si="35"/>
      </c>
      <c r="I135" s="556">
        <f t="shared" si="36"/>
      </c>
      <c r="J135" s="556">
        <f t="shared" si="37"/>
      </c>
      <c r="K135" s="556">
        <f t="shared" si="38"/>
      </c>
      <c r="L135" s="556">
        <f t="shared" si="39"/>
      </c>
      <c r="M135" s="556">
        <f t="shared" si="40"/>
      </c>
      <c r="N135" s="556">
        <f t="shared" si="41"/>
      </c>
      <c r="O135" s="322"/>
      <c r="P135" s="9"/>
      <c r="Q135" s="450" t="str">
        <f t="shared" si="42"/>
        <v>FInitial_1_Sottoimpianto oggetto di un parametro di riferimento relativo al combustibile, CL</v>
      </c>
      <c r="R135" s="450" t="str">
        <f t="shared" si="43"/>
        <v>FInitial_2_Sottoimpianto oggetto di un parametro di riferimento relativo al combustibile, CL</v>
      </c>
      <c r="S135" s="422"/>
      <c r="T135" s="422"/>
      <c r="U135" s="422"/>
      <c r="V135" s="452">
        <f t="shared" si="45"/>
        <v>2</v>
      </c>
      <c r="W135" s="422"/>
      <c r="X135" s="429">
        <f>INDEX(CHOOSE($V135,C_MergerSplitTransfer!$H$9:$H$68,C_MergerSplitTransfer!$K$9:$K$68),MATCH(Q135,C_MergerSplitTransfer!$T$9:$T$68,0))</f>
      </c>
      <c r="Y135" s="430" t="e">
        <f>IF(Y$75&lt;=CNTR_YearMergerSplit,"",INDEX(B_InitialSituation!G$9:G$153,MATCH($Q135,B_InitialSituation!$Q$9:$Q$153,0))*$X135)</f>
        <v>#VALUE!</v>
      </c>
      <c r="Z135" s="430" t="e">
        <f>IF(Z$75&lt;=CNTR_YearMergerSplit,"",INDEX(B_InitialSituation!H$9:H$153,MATCH($Q135,B_InitialSituation!$Q$9:$Q$153,0))*$X135)</f>
        <v>#VALUE!</v>
      </c>
      <c r="AA135" s="430" t="e">
        <f>IF(AA$75&lt;=CNTR_YearMergerSplit,"",INDEX(B_InitialSituation!I$9:I$153,MATCH($Q135,B_InitialSituation!$Q$9:$Q$153,0))*$X135)</f>
        <v>#VALUE!</v>
      </c>
      <c r="AB135" s="430" t="e">
        <f>IF(AB$75&lt;=CNTR_YearMergerSplit,"",INDEX(B_InitialSituation!J$9:J$153,MATCH($Q135,B_InitialSituation!$Q$9:$Q$153,0))*$X135)</f>
        <v>#VALUE!</v>
      </c>
      <c r="AC135" s="430" t="e">
        <f>IF(AC$75&lt;=CNTR_YearMergerSplit,"",INDEX(B_InitialSituation!K$9:K$153,MATCH($Q135,B_InitialSituation!$Q$9:$Q$153,0))*$X135)</f>
        <v>#VALUE!</v>
      </c>
      <c r="AD135" s="430" t="e">
        <f>IF(AD$75&lt;=CNTR_YearMergerSplit,"",INDEX(B_InitialSituation!L$9:L$153,MATCH($Q135,B_InitialSituation!$Q$9:$Q$153,0))*$X135)</f>
        <v>#VALUE!</v>
      </c>
      <c r="AE135" s="430" t="e">
        <f>IF(AE$75&lt;=CNTR_YearMergerSplit,"",INDEX(B_InitialSituation!M$9:M$153,MATCH($Q135,B_InitialSituation!$Q$9:$Q$153,0))*$X135)</f>
        <v>#VALUE!</v>
      </c>
      <c r="AF135" s="430" t="e">
        <f>IF(AF$75&lt;=CNTR_YearMergerSplit,"",INDEX(B_InitialSituation!N$9:N$153,MATCH($Q135,B_InitialSituation!$Q$9:$Q$153,0))*$X135)</f>
        <v>#VALUE!</v>
      </c>
      <c r="AG135" s="422"/>
      <c r="AH135" s="429">
        <f>INDEX(CHOOSE($V135,C_MergerSplitTransfer!$H$9:$H$68,C_MergerSplitTransfer!$K$9:$K$68),MATCH(R135,C_MergerSplitTransfer!$T$9:$T$68,0))</f>
      </c>
      <c r="AI135" s="430" t="e">
        <f>IF(AI$75&lt;=CNTR_YearMergerSplit,"",INDEX(B_InitialSituation!G$9:G$153,MATCH($R135,B_InitialSituation!$Q$9:$Q$153,0))*$AH135)</f>
        <v>#VALUE!</v>
      </c>
      <c r="AJ135" s="430" t="e">
        <f>IF(AJ$75&lt;=CNTR_YearMergerSplit,"",INDEX(B_InitialSituation!H$9:H$153,MATCH($R135,B_InitialSituation!$Q$9:$Q$153,0))*$AH135)</f>
        <v>#VALUE!</v>
      </c>
      <c r="AK135" s="430" t="e">
        <f>IF(AK$75&lt;=CNTR_YearMergerSplit,"",INDEX(B_InitialSituation!I$9:I$153,MATCH($R135,B_InitialSituation!$Q$9:$Q$153,0))*$AH135)</f>
        <v>#VALUE!</v>
      </c>
      <c r="AL135" s="430" t="e">
        <f>IF(AL$75&lt;=CNTR_YearMergerSplit,"",INDEX(B_InitialSituation!J$9:J$153,MATCH($R135,B_InitialSituation!$Q$9:$Q$153,0))*$AH135)</f>
        <v>#VALUE!</v>
      </c>
      <c r="AM135" s="430" t="e">
        <f>IF(AM$75&lt;=CNTR_YearMergerSplit,"",INDEX(B_InitialSituation!K$9:K$153,MATCH($R135,B_InitialSituation!$Q$9:$Q$153,0))*$AH135)</f>
        <v>#VALUE!</v>
      </c>
      <c r="AN135" s="430" t="e">
        <f>IF(AN$75&lt;=CNTR_YearMergerSplit,"",INDEX(B_InitialSituation!L$9:L$153,MATCH($R135,B_InitialSituation!$Q$9:$Q$153,0))*$AH135)</f>
        <v>#VALUE!</v>
      </c>
      <c r="AO135" s="430" t="e">
        <f>IF(AO$75&lt;=CNTR_YearMergerSplit,"",INDEX(B_InitialSituation!M$9:M$153,MATCH($R135,B_InitialSituation!$Q$9:$Q$153,0))*$AH135)</f>
        <v>#VALUE!</v>
      </c>
      <c r="AP135" s="430" t="e">
        <f>IF(AP$75&lt;=CNTR_YearMergerSplit,"",INDEX(B_InitialSituation!N$9:N$153,MATCH($R135,B_InitialSituation!$Q$9:$Q$153,0))*$AH135)</f>
        <v>#VALUE!</v>
      </c>
      <c r="AQ135" s="422"/>
    </row>
    <row r="136" spans="1:43" s="521" customFormat="1" ht="12.75" customHeight="1">
      <c r="A136" s="4"/>
      <c r="B136" s="5"/>
      <c r="C136" s="554">
        <v>14</v>
      </c>
      <c r="D136" s="999" t="str">
        <f t="shared" si="47"/>
        <v>Sottoimpianto oggetto di un parametro di riferimento relativo al combustibile, non CL</v>
      </c>
      <c r="E136" s="1000"/>
      <c r="F136" s="1001"/>
      <c r="G136" s="556">
        <f t="shared" si="44"/>
      </c>
      <c r="H136" s="556">
        <f t="shared" si="35"/>
      </c>
      <c r="I136" s="556">
        <f t="shared" si="36"/>
      </c>
      <c r="J136" s="556">
        <f t="shared" si="37"/>
      </c>
      <c r="K136" s="556">
        <f t="shared" si="38"/>
      </c>
      <c r="L136" s="556">
        <f t="shared" si="39"/>
      </c>
      <c r="M136" s="556">
        <f t="shared" si="40"/>
      </c>
      <c r="N136" s="556">
        <f t="shared" si="41"/>
      </c>
      <c r="O136" s="322"/>
      <c r="P136" s="9"/>
      <c r="Q136" s="450" t="str">
        <f t="shared" si="42"/>
        <v>FInitial_1_Sottoimpianto oggetto di un parametro di riferimento relativo al combustibile, non CL</v>
      </c>
      <c r="R136" s="450" t="str">
        <f t="shared" si="43"/>
        <v>FInitial_2_Sottoimpianto oggetto di un parametro di riferimento relativo al combustibile, non CL</v>
      </c>
      <c r="S136" s="422"/>
      <c r="T136" s="422"/>
      <c r="U136" s="422"/>
      <c r="V136" s="452">
        <f t="shared" si="45"/>
        <v>2</v>
      </c>
      <c r="W136" s="422"/>
      <c r="X136" s="429">
        <f>INDEX(CHOOSE($V136,C_MergerSplitTransfer!$H$9:$H$68,C_MergerSplitTransfer!$K$9:$K$68),MATCH(Q136,C_MergerSplitTransfer!$T$9:$T$68,0))</f>
      </c>
      <c r="Y136" s="430" t="e">
        <f>IF(Y$75&lt;=CNTR_YearMergerSplit,"",INDEX(B_InitialSituation!G$9:G$153,MATCH($Q136,B_InitialSituation!$Q$9:$Q$153,0))*$X136)</f>
        <v>#VALUE!</v>
      </c>
      <c r="Z136" s="430" t="e">
        <f>IF(Z$75&lt;=CNTR_YearMergerSplit,"",INDEX(B_InitialSituation!H$9:H$153,MATCH($Q136,B_InitialSituation!$Q$9:$Q$153,0))*$X136)</f>
        <v>#VALUE!</v>
      </c>
      <c r="AA136" s="430" t="e">
        <f>IF(AA$75&lt;=CNTR_YearMergerSplit,"",INDEX(B_InitialSituation!I$9:I$153,MATCH($Q136,B_InitialSituation!$Q$9:$Q$153,0))*$X136)</f>
        <v>#VALUE!</v>
      </c>
      <c r="AB136" s="430" t="e">
        <f>IF(AB$75&lt;=CNTR_YearMergerSplit,"",INDEX(B_InitialSituation!J$9:J$153,MATCH($Q136,B_InitialSituation!$Q$9:$Q$153,0))*$X136)</f>
        <v>#VALUE!</v>
      </c>
      <c r="AC136" s="430" t="e">
        <f>IF(AC$75&lt;=CNTR_YearMergerSplit,"",INDEX(B_InitialSituation!K$9:K$153,MATCH($Q136,B_InitialSituation!$Q$9:$Q$153,0))*$X136)</f>
        <v>#VALUE!</v>
      </c>
      <c r="AD136" s="430" t="e">
        <f>IF(AD$75&lt;=CNTR_YearMergerSplit,"",INDEX(B_InitialSituation!L$9:L$153,MATCH($Q136,B_InitialSituation!$Q$9:$Q$153,0))*$X136)</f>
        <v>#VALUE!</v>
      </c>
      <c r="AE136" s="430" t="e">
        <f>IF(AE$75&lt;=CNTR_YearMergerSplit,"",INDEX(B_InitialSituation!M$9:M$153,MATCH($Q136,B_InitialSituation!$Q$9:$Q$153,0))*$X136)</f>
        <v>#VALUE!</v>
      </c>
      <c r="AF136" s="430" t="e">
        <f>IF(AF$75&lt;=CNTR_YearMergerSplit,"",INDEX(B_InitialSituation!N$9:N$153,MATCH($Q136,B_InitialSituation!$Q$9:$Q$153,0))*$X136)</f>
        <v>#VALUE!</v>
      </c>
      <c r="AG136" s="422"/>
      <c r="AH136" s="429">
        <f>INDEX(CHOOSE($V136,C_MergerSplitTransfer!$H$9:$H$68,C_MergerSplitTransfer!$K$9:$K$68),MATCH(R136,C_MergerSplitTransfer!$T$9:$T$68,0))</f>
      </c>
      <c r="AI136" s="430" t="e">
        <f>IF(AI$75&lt;=CNTR_YearMergerSplit,"",INDEX(B_InitialSituation!G$9:G$153,MATCH($R136,B_InitialSituation!$Q$9:$Q$153,0))*$AH136)</f>
        <v>#VALUE!</v>
      </c>
      <c r="AJ136" s="430" t="e">
        <f>IF(AJ$75&lt;=CNTR_YearMergerSplit,"",INDEX(B_InitialSituation!H$9:H$153,MATCH($R136,B_InitialSituation!$Q$9:$Q$153,0))*$AH136)</f>
        <v>#VALUE!</v>
      </c>
      <c r="AK136" s="430" t="e">
        <f>IF(AK$75&lt;=CNTR_YearMergerSplit,"",INDEX(B_InitialSituation!I$9:I$153,MATCH($R136,B_InitialSituation!$Q$9:$Q$153,0))*$AH136)</f>
        <v>#VALUE!</v>
      </c>
      <c r="AL136" s="430" t="e">
        <f>IF(AL$75&lt;=CNTR_YearMergerSplit,"",INDEX(B_InitialSituation!J$9:J$153,MATCH($R136,B_InitialSituation!$Q$9:$Q$153,0))*$AH136)</f>
        <v>#VALUE!</v>
      </c>
      <c r="AM136" s="430" t="e">
        <f>IF(AM$75&lt;=CNTR_YearMergerSplit,"",INDEX(B_InitialSituation!K$9:K$153,MATCH($R136,B_InitialSituation!$Q$9:$Q$153,0))*$AH136)</f>
        <v>#VALUE!</v>
      </c>
      <c r="AN136" s="430" t="e">
        <f>IF(AN$75&lt;=CNTR_YearMergerSplit,"",INDEX(B_InitialSituation!L$9:L$153,MATCH($R136,B_InitialSituation!$Q$9:$Q$153,0))*$AH136)</f>
        <v>#VALUE!</v>
      </c>
      <c r="AO136" s="430" t="e">
        <f>IF(AO$75&lt;=CNTR_YearMergerSplit,"",INDEX(B_InitialSituation!M$9:M$153,MATCH($R136,B_InitialSituation!$Q$9:$Q$153,0))*$AH136)</f>
        <v>#VALUE!</v>
      </c>
      <c r="AP136" s="430" t="e">
        <f>IF(AP$75&lt;=CNTR_YearMergerSplit,"",INDEX(B_InitialSituation!N$9:N$153,MATCH($R136,B_InitialSituation!$Q$9:$Q$153,0))*$AH136)</f>
        <v>#VALUE!</v>
      </c>
      <c r="AQ136" s="422"/>
    </row>
    <row r="137" spans="1:43" s="521" customFormat="1" ht="12.75" customHeight="1">
      <c r="A137" s="4"/>
      <c r="B137" s="5"/>
      <c r="C137" s="554">
        <v>15</v>
      </c>
      <c r="D137" s="999" t="str">
        <f t="shared" si="47"/>
        <v>Sottoimpianto con emissioni di processo, CL</v>
      </c>
      <c r="E137" s="1000"/>
      <c r="F137" s="1001"/>
      <c r="G137" s="556">
        <f t="shared" si="44"/>
      </c>
      <c r="H137" s="556">
        <f t="shared" si="35"/>
      </c>
      <c r="I137" s="556">
        <f t="shared" si="36"/>
      </c>
      <c r="J137" s="556">
        <f t="shared" si="37"/>
      </c>
      <c r="K137" s="556">
        <f t="shared" si="38"/>
      </c>
      <c r="L137" s="556">
        <f t="shared" si="39"/>
      </c>
      <c r="M137" s="556">
        <f t="shared" si="40"/>
      </c>
      <c r="N137" s="556">
        <f t="shared" si="41"/>
      </c>
      <c r="O137" s="322"/>
      <c r="P137" s="9"/>
      <c r="Q137" s="450" t="str">
        <f t="shared" si="42"/>
        <v>FInitial_1_Sottoimpianto con emissioni di processo, CL</v>
      </c>
      <c r="R137" s="450" t="str">
        <f t="shared" si="43"/>
        <v>FInitial_2_Sottoimpianto con emissioni di processo, CL</v>
      </c>
      <c r="S137" s="422"/>
      <c r="T137" s="422"/>
      <c r="U137" s="422"/>
      <c r="V137" s="452">
        <f t="shared" si="45"/>
        <v>2</v>
      </c>
      <c r="W137" s="422"/>
      <c r="X137" s="429">
        <f>INDEX(CHOOSE($V137,C_MergerSplitTransfer!$H$9:$H$68,C_MergerSplitTransfer!$K$9:$K$68),MATCH(Q137,C_MergerSplitTransfer!$T$9:$T$68,0))</f>
      </c>
      <c r="Y137" s="430" t="e">
        <f>IF(Y$75&lt;=CNTR_YearMergerSplit,"",INDEX(B_InitialSituation!G$9:G$153,MATCH($Q137,B_InitialSituation!$Q$9:$Q$153,0))*$X137)</f>
        <v>#VALUE!</v>
      </c>
      <c r="Z137" s="430" t="e">
        <f>IF(Z$75&lt;=CNTR_YearMergerSplit,"",INDEX(B_InitialSituation!H$9:H$153,MATCH($Q137,B_InitialSituation!$Q$9:$Q$153,0))*$X137)</f>
        <v>#VALUE!</v>
      </c>
      <c r="AA137" s="430" t="e">
        <f>IF(AA$75&lt;=CNTR_YearMergerSplit,"",INDEX(B_InitialSituation!I$9:I$153,MATCH($Q137,B_InitialSituation!$Q$9:$Q$153,0))*$X137)</f>
        <v>#VALUE!</v>
      </c>
      <c r="AB137" s="430" t="e">
        <f>IF(AB$75&lt;=CNTR_YearMergerSplit,"",INDEX(B_InitialSituation!J$9:J$153,MATCH($Q137,B_InitialSituation!$Q$9:$Q$153,0))*$X137)</f>
        <v>#VALUE!</v>
      </c>
      <c r="AC137" s="430" t="e">
        <f>IF(AC$75&lt;=CNTR_YearMergerSplit,"",INDEX(B_InitialSituation!K$9:K$153,MATCH($Q137,B_InitialSituation!$Q$9:$Q$153,0))*$X137)</f>
        <v>#VALUE!</v>
      </c>
      <c r="AD137" s="430" t="e">
        <f>IF(AD$75&lt;=CNTR_YearMergerSplit,"",INDEX(B_InitialSituation!L$9:L$153,MATCH($Q137,B_InitialSituation!$Q$9:$Q$153,0))*$X137)</f>
        <v>#VALUE!</v>
      </c>
      <c r="AE137" s="430" t="e">
        <f>IF(AE$75&lt;=CNTR_YearMergerSplit,"",INDEX(B_InitialSituation!M$9:M$153,MATCH($Q137,B_InitialSituation!$Q$9:$Q$153,0))*$X137)</f>
        <v>#VALUE!</v>
      </c>
      <c r="AF137" s="430" t="e">
        <f>IF(AF$75&lt;=CNTR_YearMergerSplit,"",INDEX(B_InitialSituation!N$9:N$153,MATCH($Q137,B_InitialSituation!$Q$9:$Q$153,0))*$X137)</f>
        <v>#VALUE!</v>
      </c>
      <c r="AG137" s="422"/>
      <c r="AH137" s="429">
        <f>INDEX(CHOOSE($V137,C_MergerSplitTransfer!$H$9:$H$68,C_MergerSplitTransfer!$K$9:$K$68),MATCH(R137,C_MergerSplitTransfer!$T$9:$T$68,0))</f>
      </c>
      <c r="AI137" s="430" t="e">
        <f>IF(AI$75&lt;=CNTR_YearMergerSplit,"",INDEX(B_InitialSituation!G$9:G$153,MATCH($R137,B_InitialSituation!$Q$9:$Q$153,0))*$AH137)</f>
        <v>#VALUE!</v>
      </c>
      <c r="AJ137" s="430" t="e">
        <f>IF(AJ$75&lt;=CNTR_YearMergerSplit,"",INDEX(B_InitialSituation!H$9:H$153,MATCH($R137,B_InitialSituation!$Q$9:$Q$153,0))*$AH137)</f>
        <v>#VALUE!</v>
      </c>
      <c r="AK137" s="430" t="e">
        <f>IF(AK$75&lt;=CNTR_YearMergerSplit,"",INDEX(B_InitialSituation!I$9:I$153,MATCH($R137,B_InitialSituation!$Q$9:$Q$153,0))*$AH137)</f>
        <v>#VALUE!</v>
      </c>
      <c r="AL137" s="430" t="e">
        <f>IF(AL$75&lt;=CNTR_YearMergerSplit,"",INDEX(B_InitialSituation!J$9:J$153,MATCH($R137,B_InitialSituation!$Q$9:$Q$153,0))*$AH137)</f>
        <v>#VALUE!</v>
      </c>
      <c r="AM137" s="430" t="e">
        <f>IF(AM$75&lt;=CNTR_YearMergerSplit,"",INDEX(B_InitialSituation!K$9:K$153,MATCH($R137,B_InitialSituation!$Q$9:$Q$153,0))*$AH137)</f>
        <v>#VALUE!</v>
      </c>
      <c r="AN137" s="430" t="e">
        <f>IF(AN$75&lt;=CNTR_YearMergerSplit,"",INDEX(B_InitialSituation!L$9:L$153,MATCH($R137,B_InitialSituation!$Q$9:$Q$153,0))*$AH137)</f>
        <v>#VALUE!</v>
      </c>
      <c r="AO137" s="430" t="e">
        <f>IF(AO$75&lt;=CNTR_YearMergerSplit,"",INDEX(B_InitialSituation!M$9:M$153,MATCH($R137,B_InitialSituation!$Q$9:$Q$153,0))*$AH137)</f>
        <v>#VALUE!</v>
      </c>
      <c r="AP137" s="430" t="e">
        <f>IF(AP$75&lt;=CNTR_YearMergerSplit,"",INDEX(B_InitialSituation!N$9:N$153,MATCH($R137,B_InitialSituation!$Q$9:$Q$153,0))*$AH137)</f>
        <v>#VALUE!</v>
      </c>
      <c r="AQ137" s="422"/>
    </row>
    <row r="138" spans="1:43" s="521" customFormat="1" ht="12.75" customHeight="1">
      <c r="A138" s="4"/>
      <c r="B138" s="5"/>
      <c r="C138" s="554">
        <v>16</v>
      </c>
      <c r="D138" s="1002" t="str">
        <f t="shared" si="47"/>
        <v>Sottoimpianto con emissioni di processo, non CL</v>
      </c>
      <c r="E138" s="1003"/>
      <c r="F138" s="1004"/>
      <c r="G138" s="559">
        <f t="shared" si="44"/>
      </c>
      <c r="H138" s="559">
        <f t="shared" si="35"/>
      </c>
      <c r="I138" s="559">
        <f t="shared" si="36"/>
      </c>
      <c r="J138" s="559">
        <f t="shared" si="37"/>
      </c>
      <c r="K138" s="559">
        <f t="shared" si="38"/>
      </c>
      <c r="L138" s="559">
        <f t="shared" si="39"/>
      </c>
      <c r="M138" s="559">
        <f t="shared" si="40"/>
      </c>
      <c r="N138" s="559">
        <f t="shared" si="41"/>
      </c>
      <c r="O138" s="322"/>
      <c r="P138" s="9"/>
      <c r="Q138" s="450" t="str">
        <f t="shared" si="42"/>
        <v>FInitial_1_Sottoimpianto con emissioni di processo, non CL</v>
      </c>
      <c r="R138" s="450" t="str">
        <f t="shared" si="43"/>
        <v>FInitial_2_Sottoimpianto con emissioni di processo, non CL</v>
      </c>
      <c r="S138" s="422"/>
      <c r="T138" s="422"/>
      <c r="U138" s="422"/>
      <c r="V138" s="452">
        <f t="shared" si="45"/>
        <v>2</v>
      </c>
      <c r="W138" s="422"/>
      <c r="X138" s="433">
        <f>INDEX(CHOOSE($V138,C_MergerSplitTransfer!$H$9:$H$68,C_MergerSplitTransfer!$K$9:$K$68),MATCH(Q138,C_MergerSplitTransfer!$T$9:$T$68,0))</f>
      </c>
      <c r="Y138" s="434" t="e">
        <f>IF(Y$75&lt;=CNTR_YearMergerSplit,"",INDEX(B_InitialSituation!G$9:G$153,MATCH($Q138,B_InitialSituation!$Q$9:$Q$153,0))*$X138)</f>
        <v>#VALUE!</v>
      </c>
      <c r="Z138" s="434" t="e">
        <f>IF(Z$75&lt;=CNTR_YearMergerSplit,"",INDEX(B_InitialSituation!H$9:H$153,MATCH($Q138,B_InitialSituation!$Q$9:$Q$153,0))*$X138)</f>
        <v>#VALUE!</v>
      </c>
      <c r="AA138" s="434" t="e">
        <f>IF(AA$75&lt;=CNTR_YearMergerSplit,"",INDEX(B_InitialSituation!I$9:I$153,MATCH($Q138,B_InitialSituation!$Q$9:$Q$153,0))*$X138)</f>
        <v>#VALUE!</v>
      </c>
      <c r="AB138" s="434" t="e">
        <f>IF(AB$75&lt;=CNTR_YearMergerSplit,"",INDEX(B_InitialSituation!J$9:J$153,MATCH($Q138,B_InitialSituation!$Q$9:$Q$153,0))*$X138)</f>
        <v>#VALUE!</v>
      </c>
      <c r="AC138" s="434" t="e">
        <f>IF(AC$75&lt;=CNTR_YearMergerSplit,"",INDEX(B_InitialSituation!K$9:K$153,MATCH($Q138,B_InitialSituation!$Q$9:$Q$153,0))*$X138)</f>
        <v>#VALUE!</v>
      </c>
      <c r="AD138" s="434" t="e">
        <f>IF(AD$75&lt;=CNTR_YearMergerSplit,"",INDEX(B_InitialSituation!L$9:L$153,MATCH($Q138,B_InitialSituation!$Q$9:$Q$153,0))*$X138)</f>
        <v>#VALUE!</v>
      </c>
      <c r="AE138" s="434" t="e">
        <f>IF(AE$75&lt;=CNTR_YearMergerSplit,"",INDEX(B_InitialSituation!M$9:M$153,MATCH($Q138,B_InitialSituation!$Q$9:$Q$153,0))*$X138)</f>
        <v>#VALUE!</v>
      </c>
      <c r="AF138" s="434" t="e">
        <f>IF(AF$75&lt;=CNTR_YearMergerSplit,"",INDEX(B_InitialSituation!N$9:N$153,MATCH($Q138,B_InitialSituation!$Q$9:$Q$153,0))*$X138)</f>
        <v>#VALUE!</v>
      </c>
      <c r="AG138" s="422"/>
      <c r="AH138" s="433">
        <f>INDEX(CHOOSE($V138,C_MergerSplitTransfer!$H$9:$H$68,C_MergerSplitTransfer!$K$9:$K$68),MATCH(R138,C_MergerSplitTransfer!$T$9:$T$68,0))</f>
      </c>
      <c r="AI138" s="434" t="e">
        <f>IF(AI$75&lt;=CNTR_YearMergerSplit,"",INDEX(B_InitialSituation!G$9:G$153,MATCH($R138,B_InitialSituation!$Q$9:$Q$153,0))*$AH138)</f>
        <v>#VALUE!</v>
      </c>
      <c r="AJ138" s="434" t="e">
        <f>IF(AJ$75&lt;=CNTR_YearMergerSplit,"",INDEX(B_InitialSituation!H$9:H$153,MATCH($R138,B_InitialSituation!$Q$9:$Q$153,0))*$AH138)</f>
        <v>#VALUE!</v>
      </c>
      <c r="AK138" s="434" t="e">
        <f>IF(AK$75&lt;=CNTR_YearMergerSplit,"",INDEX(B_InitialSituation!I$9:I$153,MATCH($R138,B_InitialSituation!$Q$9:$Q$153,0))*$AH138)</f>
        <v>#VALUE!</v>
      </c>
      <c r="AL138" s="434" t="e">
        <f>IF(AL$75&lt;=CNTR_YearMergerSplit,"",INDEX(B_InitialSituation!J$9:J$153,MATCH($R138,B_InitialSituation!$Q$9:$Q$153,0))*$AH138)</f>
        <v>#VALUE!</v>
      </c>
      <c r="AM138" s="434" t="e">
        <f>IF(AM$75&lt;=CNTR_YearMergerSplit,"",INDEX(B_InitialSituation!K$9:K$153,MATCH($R138,B_InitialSituation!$Q$9:$Q$153,0))*$AH138)</f>
        <v>#VALUE!</v>
      </c>
      <c r="AN138" s="434" t="e">
        <f>IF(AN$75&lt;=CNTR_YearMergerSplit,"",INDEX(B_InitialSituation!L$9:L$153,MATCH($R138,B_InitialSituation!$Q$9:$Q$153,0))*$AH138)</f>
        <v>#VALUE!</v>
      </c>
      <c r="AO138" s="434" t="e">
        <f>IF(AO$75&lt;=CNTR_YearMergerSplit,"",INDEX(B_InitialSituation!M$9:M$153,MATCH($R138,B_InitialSituation!$Q$9:$Q$153,0))*$AH138)</f>
        <v>#VALUE!</v>
      </c>
      <c r="AP138" s="434" t="e">
        <f>IF(AP$75&lt;=CNTR_YearMergerSplit,"",INDEX(B_InitialSituation!N$9:N$153,MATCH($R138,B_InitialSituation!$Q$9:$Q$153,0))*$AH138)</f>
        <v>#VALUE!</v>
      </c>
      <c r="AQ138" s="422"/>
    </row>
    <row r="139" spans="1:43" s="521" customFormat="1" ht="12.75" customHeight="1" thickBot="1">
      <c r="A139" s="4"/>
      <c r="B139" s="5"/>
      <c r="C139" s="560">
        <v>17</v>
      </c>
      <c r="D139" s="1019" t="str">
        <f>EUconst_PrivateHouseholds</f>
        <v>Utenze private</v>
      </c>
      <c r="E139" s="1020"/>
      <c r="F139" s="1021"/>
      <c r="G139" s="561">
        <f t="shared" si="44"/>
      </c>
      <c r="H139" s="561">
        <f t="shared" si="35"/>
      </c>
      <c r="I139" s="561">
        <f t="shared" si="36"/>
      </c>
      <c r="J139" s="561">
        <f t="shared" si="37"/>
      </c>
      <c r="K139" s="561">
        <f t="shared" si="38"/>
      </c>
      <c r="L139" s="561">
        <f t="shared" si="39"/>
      </c>
      <c r="M139" s="561">
        <f t="shared" si="40"/>
      </c>
      <c r="N139" s="561">
        <f t="shared" si="41"/>
      </c>
      <c r="O139" s="322"/>
      <c r="P139" s="9"/>
      <c r="Q139" s="450" t="str">
        <f t="shared" si="42"/>
        <v>FInitial_1_Utenze private</v>
      </c>
      <c r="R139" s="450" t="str">
        <f t="shared" si="43"/>
        <v>FInitial_2_Utenze private</v>
      </c>
      <c r="S139" s="422"/>
      <c r="T139" s="422"/>
      <c r="U139" s="422"/>
      <c r="V139" s="453">
        <f t="shared" si="45"/>
        <v>2</v>
      </c>
      <c r="W139" s="422"/>
      <c r="X139" s="435">
        <f>INDEX(CHOOSE($V139,C_MergerSplitTransfer!$H$9:$H$68,C_MergerSplitTransfer!$K$9:$K$68),MATCH(Q139,C_MergerSplitTransfer!$T$9:$T$68,0))</f>
      </c>
      <c r="Y139" s="436" t="e">
        <f>IF(Y$75&lt;=CNTR_YearMergerSplit,"",INDEX(B_InitialSituation!G$9:G$153,MATCH($Q139,B_InitialSituation!$Q$9:$Q$153,0))*$X139)</f>
        <v>#VALUE!</v>
      </c>
      <c r="Z139" s="436" t="e">
        <f>IF(Z$75&lt;=CNTR_YearMergerSplit,"",INDEX(B_InitialSituation!H$9:H$153,MATCH($Q139,B_InitialSituation!$Q$9:$Q$153,0))*$X139)</f>
        <v>#VALUE!</v>
      </c>
      <c r="AA139" s="436" t="e">
        <f>IF(AA$75&lt;=CNTR_YearMergerSplit,"",INDEX(B_InitialSituation!I$9:I$153,MATCH($Q139,B_InitialSituation!$Q$9:$Q$153,0))*$X139)</f>
        <v>#VALUE!</v>
      </c>
      <c r="AB139" s="436" t="e">
        <f>IF(AB$75&lt;=CNTR_YearMergerSplit,"",INDEX(B_InitialSituation!J$9:J$153,MATCH($Q139,B_InitialSituation!$Q$9:$Q$153,0))*$X139)</f>
        <v>#VALUE!</v>
      </c>
      <c r="AC139" s="436" t="e">
        <f>IF(AC$75&lt;=CNTR_YearMergerSplit,"",INDEX(B_InitialSituation!K$9:K$153,MATCH($Q139,B_InitialSituation!$Q$9:$Q$153,0))*$X139)</f>
        <v>#VALUE!</v>
      </c>
      <c r="AD139" s="436" t="e">
        <f>IF(AD$75&lt;=CNTR_YearMergerSplit,"",INDEX(B_InitialSituation!L$9:L$153,MATCH($Q139,B_InitialSituation!$Q$9:$Q$153,0))*$X139)</f>
        <v>#VALUE!</v>
      </c>
      <c r="AE139" s="436" t="e">
        <f>IF(AE$75&lt;=CNTR_YearMergerSplit,"",INDEX(B_InitialSituation!M$9:M$153,MATCH($Q139,B_InitialSituation!$Q$9:$Q$153,0))*$X139)</f>
        <v>#VALUE!</v>
      </c>
      <c r="AF139" s="436" t="e">
        <f>IF(AF$75&lt;=CNTR_YearMergerSplit,"",INDEX(B_InitialSituation!N$9:N$153,MATCH($Q139,B_InitialSituation!$Q$9:$Q$153,0))*$X139)</f>
        <v>#VALUE!</v>
      </c>
      <c r="AG139" s="422"/>
      <c r="AH139" s="435">
        <f>INDEX(CHOOSE($V139,C_MergerSplitTransfer!$H$9:$H$68,C_MergerSplitTransfer!$K$9:$K$68),MATCH(R139,C_MergerSplitTransfer!$T$9:$T$68,0))</f>
      </c>
      <c r="AI139" s="436" t="e">
        <f>IF(AI$75&lt;=CNTR_YearMergerSplit,"",INDEX(B_InitialSituation!G$9:G$153,MATCH($R139,B_InitialSituation!$Q$9:$Q$153,0))*$AH139)</f>
        <v>#VALUE!</v>
      </c>
      <c r="AJ139" s="436" t="e">
        <f>IF(AJ$75&lt;=CNTR_YearMergerSplit,"",INDEX(B_InitialSituation!H$9:H$153,MATCH($R139,B_InitialSituation!$Q$9:$Q$153,0))*$AH139)</f>
        <v>#VALUE!</v>
      </c>
      <c r="AK139" s="436" t="e">
        <f>IF(AK$75&lt;=CNTR_YearMergerSplit,"",INDEX(B_InitialSituation!I$9:I$153,MATCH($R139,B_InitialSituation!$Q$9:$Q$153,0))*$AH139)</f>
        <v>#VALUE!</v>
      </c>
      <c r="AL139" s="436" t="e">
        <f>IF(AL$75&lt;=CNTR_YearMergerSplit,"",INDEX(B_InitialSituation!J$9:J$153,MATCH($R139,B_InitialSituation!$Q$9:$Q$153,0))*$AH139)</f>
        <v>#VALUE!</v>
      </c>
      <c r="AM139" s="436" t="e">
        <f>IF(AM$75&lt;=CNTR_YearMergerSplit,"",INDEX(B_InitialSituation!K$9:K$153,MATCH($R139,B_InitialSituation!$Q$9:$Q$153,0))*$AH139)</f>
        <v>#VALUE!</v>
      </c>
      <c r="AN139" s="436" t="e">
        <f>IF(AN$75&lt;=CNTR_YearMergerSplit,"",INDEX(B_InitialSituation!L$9:L$153,MATCH($R139,B_InitialSituation!$Q$9:$Q$153,0))*$AH139)</f>
        <v>#VALUE!</v>
      </c>
      <c r="AO139" s="436" t="e">
        <f>IF(AO$75&lt;=CNTR_YearMergerSplit,"",INDEX(B_InitialSituation!M$9:M$153,MATCH($R139,B_InitialSituation!$Q$9:$Q$153,0))*$AH139)</f>
        <v>#VALUE!</v>
      </c>
      <c r="AP139" s="436" t="e">
        <f>IF(AP$75&lt;=CNTR_YearMergerSplit,"",INDEX(B_InitialSituation!N$9:N$153,MATCH($R139,B_InitialSituation!$Q$9:$Q$153,0))*$AH139)</f>
        <v>#VALUE!</v>
      </c>
      <c r="AQ139" s="422"/>
    </row>
    <row r="140" spans="1:43" s="521" customFormat="1" ht="12.75" customHeight="1">
      <c r="A140" s="4"/>
      <c r="B140" s="5"/>
      <c r="C140" s="562"/>
      <c r="D140" s="1022" t="str">
        <f>EUconst_TotFreeAlloc</f>
        <v>Assegnazione totale finale a titolo gratuito</v>
      </c>
      <c r="E140" s="1023"/>
      <c r="F140" s="1024"/>
      <c r="G140" s="563">
        <f aca="true" t="shared" si="48" ref="G140:N140">IF(COUNT(G122:G139)&gt;0,SUM(G122:G139),"")</f>
      </c>
      <c r="H140" s="563">
        <f t="shared" si="48"/>
      </c>
      <c r="I140" s="563">
        <f t="shared" si="48"/>
      </c>
      <c r="J140" s="563">
        <f t="shared" si="48"/>
      </c>
      <c r="K140" s="563">
        <f t="shared" si="48"/>
      </c>
      <c r="L140" s="563">
        <f t="shared" si="48"/>
      </c>
      <c r="M140" s="563">
        <f t="shared" si="48"/>
      </c>
      <c r="N140" s="563">
        <f t="shared" si="48"/>
      </c>
      <c r="O140" s="322"/>
      <c r="P140" s="9"/>
      <c r="Q140" s="440"/>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row>
    <row r="141" spans="1:43" s="521" customFormat="1" ht="12.75" customHeight="1">
      <c r="A141" s="4"/>
      <c r="B141" s="5"/>
      <c r="C141" s="564"/>
      <c r="D141" s="549"/>
      <c r="E141" s="549"/>
      <c r="F141" s="549"/>
      <c r="G141" s="549"/>
      <c r="H141" s="549"/>
      <c r="I141" s="549"/>
      <c r="J141" s="549"/>
      <c r="K141" s="549"/>
      <c r="L141" s="549"/>
      <c r="M141" s="549"/>
      <c r="N141" s="549"/>
      <c r="O141" s="314"/>
      <c r="P141" s="9"/>
      <c r="Q141" s="440"/>
      <c r="R141" s="422"/>
      <c r="S141" s="422"/>
      <c r="T141" s="422"/>
      <c r="U141" s="422"/>
      <c r="V141" s="440"/>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row>
    <row r="142" spans="1:43" s="521" customFormat="1" ht="15" customHeight="1">
      <c r="A142" s="4"/>
      <c r="B142" s="18"/>
      <c r="C142" s="548"/>
      <c r="D142" s="1025" t="str">
        <f>Translations!$B$1571</f>
        <v>Nuova capacità installata iniziale e livello di attività annuale</v>
      </c>
      <c r="E142" s="1026"/>
      <c r="F142" s="1026"/>
      <c r="G142" s="1026"/>
      <c r="H142" s="1026"/>
      <c r="I142" s="1026"/>
      <c r="J142" s="1026"/>
      <c r="K142" s="1026"/>
      <c r="L142" s="1026"/>
      <c r="M142" s="1026"/>
      <c r="N142" s="1026"/>
      <c r="O142" s="18"/>
      <c r="P142" s="18"/>
      <c r="Q142" s="439"/>
      <c r="R142" s="422"/>
      <c r="S142" s="422"/>
      <c r="T142" s="422"/>
      <c r="U142" s="422"/>
      <c r="V142" s="422"/>
      <c r="W142" s="422"/>
      <c r="X142" s="422"/>
      <c r="Y142" s="422"/>
      <c r="Z142" s="422"/>
      <c r="AA142" s="422"/>
      <c r="AB142" s="422"/>
      <c r="AC142" s="422"/>
      <c r="AD142" s="422"/>
      <c r="AE142" s="422"/>
      <c r="AF142" s="422"/>
      <c r="AG142" s="422"/>
      <c r="AH142" s="422"/>
      <c r="AI142" s="422"/>
      <c r="AJ142" s="422"/>
      <c r="AK142" s="422"/>
      <c r="AL142" s="422"/>
      <c r="AM142" s="422"/>
      <c r="AN142" s="422"/>
      <c r="AO142" s="422"/>
      <c r="AP142" s="422"/>
      <c r="AQ142" s="422"/>
    </row>
    <row r="143" spans="1:43" s="521" customFormat="1" ht="4.5" customHeight="1">
      <c r="A143" s="4"/>
      <c r="B143" s="5"/>
      <c r="C143" s="549"/>
      <c r="D143" s="549"/>
      <c r="E143" s="549"/>
      <c r="F143" s="549"/>
      <c r="G143" s="549"/>
      <c r="H143" s="549"/>
      <c r="I143" s="549"/>
      <c r="J143" s="549"/>
      <c r="K143" s="549"/>
      <c r="L143" s="549"/>
      <c r="M143" s="549"/>
      <c r="N143" s="549"/>
      <c r="O143" s="9"/>
      <c r="P143" s="9"/>
      <c r="Q143" s="440"/>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row>
    <row r="144" spans="1:43" s="525" customFormat="1" ht="38.25" customHeight="1" thickBot="1">
      <c r="A144" s="395"/>
      <c r="B144" s="371"/>
      <c r="C144" s="565"/>
      <c r="D144" s="1027" t="str">
        <f>Translations!$B$440</f>
        <v>Sottoimpianto</v>
      </c>
      <c r="E144" s="1028"/>
      <c r="F144" s="1028"/>
      <c r="G144" s="1029"/>
      <c r="H144" s="566" t="str">
        <f>EUconst_Unit</f>
        <v>Unità</v>
      </c>
      <c r="I144" s="566" t="str">
        <f>Translations!$B$1030</f>
        <v>Capacità installata iniziale</v>
      </c>
      <c r="J144" s="567" t="str">
        <f>Translations!$B$1187</f>
        <v>Livello di attività annuale iniziale </v>
      </c>
      <c r="K144" s="549"/>
      <c r="L144" s="568"/>
      <c r="M144" s="568"/>
      <c r="N144" s="568"/>
      <c r="O144" s="398"/>
      <c r="P144" s="399"/>
      <c r="Q144" s="454"/>
      <c r="R144" s="454"/>
      <c r="S144" s="454"/>
      <c r="T144" s="454"/>
      <c r="U144" s="454"/>
      <c r="V144" s="448" t="s">
        <v>545</v>
      </c>
      <c r="W144" s="454"/>
      <c r="X144" s="437" t="str">
        <f>Translations!$B$1030</f>
        <v>Capacità installata iniziale</v>
      </c>
      <c r="Y144" s="438" t="str">
        <f>Translations!$B$1187</f>
        <v>Livello di attività annuale iniziale </v>
      </c>
      <c r="Z144" s="422"/>
      <c r="AA144" s="119" t="s">
        <v>535</v>
      </c>
      <c r="AB144" s="119" t="s">
        <v>532</v>
      </c>
      <c r="AC144" s="10" t="s">
        <v>536</v>
      </c>
      <c r="AD144" s="440" t="s">
        <v>568</v>
      </c>
      <c r="AE144" s="440" t="str">
        <f>EUconst_Unit</f>
        <v>Unità</v>
      </c>
      <c r="AF144" s="440" t="str">
        <f>EUconst_Unit</f>
        <v>Unità</v>
      </c>
      <c r="AG144" s="455"/>
      <c r="AH144" s="458" t="str">
        <f>Translations!$B$1030</f>
        <v>Capacità installata iniziale</v>
      </c>
      <c r="AI144" s="438" t="str">
        <f>Translations!$B$1187</f>
        <v>Livello di attività annuale iniziale </v>
      </c>
      <c r="AJ144" s="455"/>
      <c r="AK144" s="455"/>
      <c r="AL144" s="455"/>
      <c r="AM144" s="455"/>
      <c r="AN144" s="455"/>
      <c r="AO144" s="455"/>
      <c r="AP144" s="455"/>
      <c r="AQ144" s="455"/>
    </row>
    <row r="145" spans="1:43" s="521" customFormat="1" ht="12.75" customHeight="1">
      <c r="A145" s="4"/>
      <c r="B145" s="5"/>
      <c r="C145" s="554">
        <v>1</v>
      </c>
      <c r="D145" s="1030">
        <f aca="true" t="shared" si="49" ref="D145:D154">IF(D123="","",D123)</f>
      </c>
      <c r="E145" s="1031"/>
      <c r="F145" s="1031"/>
      <c r="G145" s="1032"/>
      <c r="H145" s="569">
        <f aca="true" t="shared" si="50" ref="H145:H154">IF(D145&lt;&gt;"",INDEX(EUconst_BMlistUnits,MATCH($D145,EUconst_BMlistNames,0))&amp;" / "&amp;EUconst_Year,"")</f>
      </c>
      <c r="I145" s="570">
        <f>IF(X145=0,"",ROUND(X145,0))</f>
      </c>
      <c r="J145" s="570">
        <f aca="true" t="shared" si="51" ref="J145:J160">IF(Y145=0,"",ROUND(Y145,0))</f>
      </c>
      <c r="K145" s="549"/>
      <c r="L145" s="568"/>
      <c r="M145" s="568"/>
      <c r="N145" s="568"/>
      <c r="O145" s="322"/>
      <c r="P145" s="480"/>
      <c r="Q145" s="450" t="str">
        <f aca="true" t="shared" si="52" ref="Q145:Q160">EUconst_CNTR_CAPINI&amp;$D145</f>
        <v>CAPINI_</v>
      </c>
      <c r="R145" s="454"/>
      <c r="S145" s="440"/>
      <c r="T145" s="440"/>
      <c r="U145" s="440"/>
      <c r="V145" s="451">
        <f>V139</f>
        <v>2</v>
      </c>
      <c r="W145" s="440"/>
      <c r="X145" s="459">
        <f>SUMIF(C_MergerSplitTransfer!$U$9:$U$68,$Q145,CHOOSE($V145,C_MergerSplitTransfer!I$9:I$68,C_MergerSplitTransfer!L$9:L$68))</f>
        <v>0</v>
      </c>
      <c r="Y145" s="459">
        <f>SUMIF(C_MergerSplitTransfer!$U$9:$U$68,$Q145,CHOOSE($V145,C_MergerSplitTransfer!J$9:J$68,C_MergerSplitTransfer!M$9:M$68))</f>
        <v>0</v>
      </c>
      <c r="Z145" s="422"/>
      <c r="AA145" s="450">
        <f aca="true" t="shared" si="53" ref="AA145:AA154">IF(D145="","",INDEX(EUconst_BMlistCLstatus,MATCH(D145,EUconst_BMlistNames,0)))</f>
      </c>
      <c r="AB145" s="450">
        <f aca="true" t="shared" si="54" ref="AB145:AB154">IF(D145="","",INDEX(EUconst_BMlistNumberOfBM,MATCH(D145,EUconst_BMlistNames,0)))</f>
      </c>
      <c r="AC145" s="450">
        <f aca="true" t="shared" si="55" ref="AC145:AC154">IF(D145="","",INDEX(EUconst_BMlistBMvalues,MATCH(D145,EUconst_BMlistNames,0)))</f>
      </c>
      <c r="AD145" s="450">
        <f aca="true" t="shared" si="56" ref="AD145:AD154">IF(D145="","",EUconst_EUA&amp;" / "&amp;AE145)</f>
      </c>
      <c r="AE145" s="450">
        <f aca="true" t="shared" si="57" ref="AE145:AE154">IF(D145="","",INDEX(EUconst_BMlistUnits,MATCH(D145,EUconst_BMlistNames,0)))</f>
      </c>
      <c r="AF145" s="450">
        <f aca="true" t="shared" si="58" ref="AF145:AF154">IF(D145="","",INDEX(EUconst_BMlistUnits,MATCH(D145,EUconst_BMlistNames,0))&amp;" / "&amp;EUconst_Year)</f>
      </c>
      <c r="AG145" s="422"/>
      <c r="AH145" s="422"/>
      <c r="AI145" s="422"/>
      <c r="AJ145" s="422"/>
      <c r="AK145" s="422"/>
      <c r="AL145" s="422"/>
      <c r="AM145" s="422"/>
      <c r="AN145" s="422"/>
      <c r="AO145" s="422"/>
      <c r="AP145" s="422"/>
      <c r="AQ145" s="422"/>
    </row>
    <row r="146" spans="1:43" s="521" customFormat="1" ht="12.75" customHeight="1">
      <c r="A146" s="4"/>
      <c r="B146" s="5"/>
      <c r="C146" s="554">
        <v>2</v>
      </c>
      <c r="D146" s="1010">
        <f t="shared" si="49"/>
      </c>
      <c r="E146" s="1011"/>
      <c r="F146" s="1011"/>
      <c r="G146" s="1012"/>
      <c r="H146" s="571">
        <f t="shared" si="50"/>
      </c>
      <c r="I146" s="572">
        <f aca="true" t="shared" si="59" ref="I146:I160">IF(X146=0,"",ROUND(X146,0))</f>
      </c>
      <c r="J146" s="572">
        <f t="shared" si="51"/>
      </c>
      <c r="K146" s="549"/>
      <c r="L146" s="568"/>
      <c r="M146" s="568"/>
      <c r="N146" s="568"/>
      <c r="O146" s="322"/>
      <c r="P146" s="320"/>
      <c r="Q146" s="450" t="str">
        <f t="shared" si="52"/>
        <v>CAPINI_</v>
      </c>
      <c r="R146" s="454"/>
      <c r="S146" s="440"/>
      <c r="T146" s="440"/>
      <c r="U146" s="440"/>
      <c r="V146" s="452">
        <f aca="true" t="shared" si="60" ref="V146:V160">V145</f>
        <v>2</v>
      </c>
      <c r="W146" s="440"/>
      <c r="X146" s="459">
        <f>SUMIF(C_MergerSplitTransfer!$U$9:$U$68,$Q146,CHOOSE($V146,C_MergerSplitTransfer!I$9:I$68,C_MergerSplitTransfer!L$9:L$68))</f>
        <v>0</v>
      </c>
      <c r="Y146" s="459">
        <f>SUMIF(C_MergerSplitTransfer!$U$9:$U$68,$Q146,CHOOSE($V146,C_MergerSplitTransfer!J$9:J$68,C_MergerSplitTransfer!M$9:M$68))</f>
        <v>0</v>
      </c>
      <c r="Z146" s="422"/>
      <c r="AA146" s="450">
        <f t="shared" si="53"/>
      </c>
      <c r="AB146" s="450">
        <f t="shared" si="54"/>
      </c>
      <c r="AC146" s="450">
        <f t="shared" si="55"/>
      </c>
      <c r="AD146" s="450">
        <f t="shared" si="56"/>
      </c>
      <c r="AE146" s="450">
        <f t="shared" si="57"/>
      </c>
      <c r="AF146" s="450">
        <f t="shared" si="58"/>
      </c>
      <c r="AG146" s="422"/>
      <c r="AH146" s="422"/>
      <c r="AI146" s="422"/>
      <c r="AJ146" s="422"/>
      <c r="AK146" s="422"/>
      <c r="AL146" s="422"/>
      <c r="AM146" s="422"/>
      <c r="AN146" s="422"/>
      <c r="AO146" s="422"/>
      <c r="AP146" s="422"/>
      <c r="AQ146" s="422"/>
    </row>
    <row r="147" spans="1:43" s="521" customFormat="1" ht="12.75" customHeight="1">
      <c r="A147" s="4"/>
      <c r="B147" s="5"/>
      <c r="C147" s="554">
        <v>3</v>
      </c>
      <c r="D147" s="1010">
        <f t="shared" si="49"/>
      </c>
      <c r="E147" s="1011"/>
      <c r="F147" s="1011"/>
      <c r="G147" s="1012"/>
      <c r="H147" s="571">
        <f t="shared" si="50"/>
      </c>
      <c r="I147" s="572">
        <f t="shared" si="59"/>
      </c>
      <c r="J147" s="572">
        <f t="shared" si="51"/>
      </c>
      <c r="K147" s="549"/>
      <c r="L147" s="568"/>
      <c r="M147" s="568"/>
      <c r="N147" s="568"/>
      <c r="O147" s="322"/>
      <c r="P147" s="320"/>
      <c r="Q147" s="450" t="str">
        <f t="shared" si="52"/>
        <v>CAPINI_</v>
      </c>
      <c r="R147" s="454"/>
      <c r="S147" s="440"/>
      <c r="T147" s="440"/>
      <c r="U147" s="440"/>
      <c r="V147" s="452">
        <f t="shared" si="60"/>
        <v>2</v>
      </c>
      <c r="W147" s="440"/>
      <c r="X147" s="459">
        <f>SUMIF(C_MergerSplitTransfer!$U$9:$U$68,$Q147,CHOOSE($V147,C_MergerSplitTransfer!I$9:I$68,C_MergerSplitTransfer!L$9:L$68))</f>
        <v>0</v>
      </c>
      <c r="Y147" s="459">
        <f>SUMIF(C_MergerSplitTransfer!$U$9:$U$68,$Q147,CHOOSE($V147,C_MergerSplitTransfer!J$9:J$68,C_MergerSplitTransfer!M$9:M$68))</f>
        <v>0</v>
      </c>
      <c r="Z147" s="422"/>
      <c r="AA147" s="450">
        <f t="shared" si="53"/>
      </c>
      <c r="AB147" s="450">
        <f t="shared" si="54"/>
      </c>
      <c r="AC147" s="450">
        <f t="shared" si="55"/>
      </c>
      <c r="AD147" s="450">
        <f t="shared" si="56"/>
      </c>
      <c r="AE147" s="450">
        <f t="shared" si="57"/>
      </c>
      <c r="AF147" s="450">
        <f t="shared" si="58"/>
      </c>
      <c r="AG147" s="422"/>
      <c r="AH147" s="422"/>
      <c r="AI147" s="422"/>
      <c r="AJ147" s="422"/>
      <c r="AK147" s="422"/>
      <c r="AL147" s="422"/>
      <c r="AM147" s="422"/>
      <c r="AN147" s="422"/>
      <c r="AO147" s="422"/>
      <c r="AP147" s="422"/>
      <c r="AQ147" s="422"/>
    </row>
    <row r="148" spans="1:43" s="521" customFormat="1" ht="12.75" customHeight="1">
      <c r="A148" s="4"/>
      <c r="B148" s="5"/>
      <c r="C148" s="554">
        <v>4</v>
      </c>
      <c r="D148" s="1010">
        <f t="shared" si="49"/>
      </c>
      <c r="E148" s="1011"/>
      <c r="F148" s="1011"/>
      <c r="G148" s="1012"/>
      <c r="H148" s="571">
        <f t="shared" si="50"/>
      </c>
      <c r="I148" s="572">
        <f t="shared" si="59"/>
      </c>
      <c r="J148" s="572">
        <f t="shared" si="51"/>
      </c>
      <c r="K148" s="549"/>
      <c r="L148" s="568"/>
      <c r="M148" s="568"/>
      <c r="N148" s="568"/>
      <c r="O148" s="322"/>
      <c r="P148" s="320"/>
      <c r="Q148" s="450" t="str">
        <f t="shared" si="52"/>
        <v>CAPINI_</v>
      </c>
      <c r="R148" s="454"/>
      <c r="S148" s="440"/>
      <c r="T148" s="440"/>
      <c r="U148" s="440"/>
      <c r="V148" s="452">
        <f t="shared" si="60"/>
        <v>2</v>
      </c>
      <c r="W148" s="440"/>
      <c r="X148" s="459">
        <f>SUMIF(C_MergerSplitTransfer!$U$9:$U$68,$Q148,CHOOSE($V148,C_MergerSplitTransfer!I$9:I$68,C_MergerSplitTransfer!L$9:L$68))</f>
        <v>0</v>
      </c>
      <c r="Y148" s="459">
        <f>SUMIF(C_MergerSplitTransfer!$U$9:$U$68,$Q148,CHOOSE($V148,C_MergerSplitTransfer!J$9:J$68,C_MergerSplitTransfer!M$9:M$68))</f>
        <v>0</v>
      </c>
      <c r="Z148" s="422"/>
      <c r="AA148" s="450">
        <f t="shared" si="53"/>
      </c>
      <c r="AB148" s="450">
        <f t="shared" si="54"/>
      </c>
      <c r="AC148" s="450">
        <f t="shared" si="55"/>
      </c>
      <c r="AD148" s="450">
        <f t="shared" si="56"/>
      </c>
      <c r="AE148" s="450">
        <f t="shared" si="57"/>
      </c>
      <c r="AF148" s="450">
        <f t="shared" si="58"/>
      </c>
      <c r="AG148" s="422"/>
      <c r="AH148" s="422"/>
      <c r="AI148" s="422"/>
      <c r="AJ148" s="422"/>
      <c r="AK148" s="422"/>
      <c r="AL148" s="422"/>
      <c r="AM148" s="422"/>
      <c r="AN148" s="422"/>
      <c r="AO148" s="422"/>
      <c r="AP148" s="422"/>
      <c r="AQ148" s="422"/>
    </row>
    <row r="149" spans="1:43" s="521" customFormat="1" ht="12.75" customHeight="1">
      <c r="A149" s="4"/>
      <c r="B149" s="5"/>
      <c r="C149" s="554">
        <v>5</v>
      </c>
      <c r="D149" s="1010">
        <f t="shared" si="49"/>
      </c>
      <c r="E149" s="1011"/>
      <c r="F149" s="1011"/>
      <c r="G149" s="1012"/>
      <c r="H149" s="571">
        <f t="shared" si="50"/>
      </c>
      <c r="I149" s="572">
        <f t="shared" si="59"/>
      </c>
      <c r="J149" s="572">
        <f t="shared" si="51"/>
      </c>
      <c r="K149" s="549"/>
      <c r="L149" s="568"/>
      <c r="M149" s="568"/>
      <c r="N149" s="568"/>
      <c r="O149" s="322"/>
      <c r="P149" s="320"/>
      <c r="Q149" s="450" t="str">
        <f t="shared" si="52"/>
        <v>CAPINI_</v>
      </c>
      <c r="R149" s="454"/>
      <c r="S149" s="440"/>
      <c r="T149" s="440"/>
      <c r="U149" s="440"/>
      <c r="V149" s="452">
        <f t="shared" si="60"/>
        <v>2</v>
      </c>
      <c r="W149" s="440"/>
      <c r="X149" s="459">
        <f>SUMIF(C_MergerSplitTransfer!$U$9:$U$68,$Q149,CHOOSE($V149,C_MergerSplitTransfer!I$9:I$68,C_MergerSplitTransfer!L$9:L$68))</f>
        <v>0</v>
      </c>
      <c r="Y149" s="459">
        <f>SUMIF(C_MergerSplitTransfer!$U$9:$U$68,$Q149,CHOOSE($V149,C_MergerSplitTransfer!J$9:J$68,C_MergerSplitTransfer!M$9:M$68))</f>
        <v>0</v>
      </c>
      <c r="Z149" s="422"/>
      <c r="AA149" s="450">
        <f t="shared" si="53"/>
      </c>
      <c r="AB149" s="450">
        <f t="shared" si="54"/>
      </c>
      <c r="AC149" s="450">
        <f t="shared" si="55"/>
      </c>
      <c r="AD149" s="450">
        <f t="shared" si="56"/>
      </c>
      <c r="AE149" s="450">
        <f t="shared" si="57"/>
      </c>
      <c r="AF149" s="450">
        <f t="shared" si="58"/>
      </c>
      <c r="AG149" s="422"/>
      <c r="AH149" s="422"/>
      <c r="AI149" s="422"/>
      <c r="AJ149" s="422"/>
      <c r="AK149" s="422"/>
      <c r="AL149" s="422"/>
      <c r="AM149" s="422"/>
      <c r="AN149" s="422"/>
      <c r="AO149" s="422"/>
      <c r="AP149" s="422"/>
      <c r="AQ149" s="422"/>
    </row>
    <row r="150" spans="1:43" s="521" customFormat="1" ht="12.75" customHeight="1">
      <c r="A150" s="4"/>
      <c r="B150" s="5"/>
      <c r="C150" s="554">
        <v>6</v>
      </c>
      <c r="D150" s="1010">
        <f t="shared" si="49"/>
      </c>
      <c r="E150" s="1011"/>
      <c r="F150" s="1011"/>
      <c r="G150" s="1012"/>
      <c r="H150" s="571">
        <f t="shared" si="50"/>
      </c>
      <c r="I150" s="572">
        <f t="shared" si="59"/>
      </c>
      <c r="J150" s="572">
        <f t="shared" si="51"/>
      </c>
      <c r="K150" s="549"/>
      <c r="L150" s="568"/>
      <c r="M150" s="568"/>
      <c r="N150" s="568"/>
      <c r="O150" s="322"/>
      <c r="P150" s="9"/>
      <c r="Q150" s="450" t="str">
        <f t="shared" si="52"/>
        <v>CAPINI_</v>
      </c>
      <c r="R150" s="454"/>
      <c r="S150" s="440"/>
      <c r="T150" s="440"/>
      <c r="U150" s="440"/>
      <c r="V150" s="452">
        <f t="shared" si="60"/>
        <v>2</v>
      </c>
      <c r="W150" s="440"/>
      <c r="X150" s="459">
        <f>SUMIF(C_MergerSplitTransfer!$U$9:$U$68,$Q150,CHOOSE($V150,C_MergerSplitTransfer!I$9:I$68,C_MergerSplitTransfer!L$9:L$68))</f>
        <v>0</v>
      </c>
      <c r="Y150" s="459">
        <f>SUMIF(C_MergerSplitTransfer!$U$9:$U$68,$Q150,CHOOSE($V150,C_MergerSplitTransfer!J$9:J$68,C_MergerSplitTransfer!M$9:M$68))</f>
        <v>0</v>
      </c>
      <c r="Z150" s="422"/>
      <c r="AA150" s="450">
        <f t="shared" si="53"/>
      </c>
      <c r="AB150" s="450">
        <f t="shared" si="54"/>
      </c>
      <c r="AC150" s="450">
        <f t="shared" si="55"/>
      </c>
      <c r="AD150" s="450">
        <f t="shared" si="56"/>
      </c>
      <c r="AE150" s="450">
        <f t="shared" si="57"/>
      </c>
      <c r="AF150" s="450">
        <f t="shared" si="58"/>
      </c>
      <c r="AG150" s="422"/>
      <c r="AH150" s="422"/>
      <c r="AI150" s="422"/>
      <c r="AJ150" s="422"/>
      <c r="AK150" s="422"/>
      <c r="AL150" s="422"/>
      <c r="AM150" s="422"/>
      <c r="AN150" s="422"/>
      <c r="AO150" s="422"/>
      <c r="AP150" s="422"/>
      <c r="AQ150" s="422"/>
    </row>
    <row r="151" spans="1:43" s="521" customFormat="1" ht="12.75" customHeight="1">
      <c r="A151" s="4"/>
      <c r="B151" s="5"/>
      <c r="C151" s="554">
        <v>7</v>
      </c>
      <c r="D151" s="1010">
        <f t="shared" si="49"/>
      </c>
      <c r="E151" s="1011"/>
      <c r="F151" s="1011"/>
      <c r="G151" s="1012"/>
      <c r="H151" s="571">
        <f t="shared" si="50"/>
      </c>
      <c r="I151" s="572">
        <f t="shared" si="59"/>
      </c>
      <c r="J151" s="572">
        <f t="shared" si="51"/>
      </c>
      <c r="K151" s="549"/>
      <c r="L151" s="568"/>
      <c r="M151" s="568"/>
      <c r="N151" s="568"/>
      <c r="O151" s="322"/>
      <c r="P151" s="9"/>
      <c r="Q151" s="450" t="str">
        <f t="shared" si="52"/>
        <v>CAPINI_</v>
      </c>
      <c r="R151" s="454"/>
      <c r="S151" s="440"/>
      <c r="T151" s="440"/>
      <c r="U151" s="440"/>
      <c r="V151" s="452">
        <f t="shared" si="60"/>
        <v>2</v>
      </c>
      <c r="W151" s="440"/>
      <c r="X151" s="459">
        <f>SUMIF(C_MergerSplitTransfer!$U$9:$U$68,$Q151,CHOOSE($V151,C_MergerSplitTransfer!I$9:I$68,C_MergerSplitTransfer!L$9:L$68))</f>
        <v>0</v>
      </c>
      <c r="Y151" s="459">
        <f>SUMIF(C_MergerSplitTransfer!$U$9:$U$68,$Q151,CHOOSE($V151,C_MergerSplitTransfer!J$9:J$68,C_MergerSplitTransfer!M$9:M$68))</f>
        <v>0</v>
      </c>
      <c r="Z151" s="422"/>
      <c r="AA151" s="450">
        <f t="shared" si="53"/>
      </c>
      <c r="AB151" s="450">
        <f t="shared" si="54"/>
      </c>
      <c r="AC151" s="450">
        <f t="shared" si="55"/>
      </c>
      <c r="AD151" s="450">
        <f t="shared" si="56"/>
      </c>
      <c r="AE151" s="450">
        <f t="shared" si="57"/>
      </c>
      <c r="AF151" s="450">
        <f t="shared" si="58"/>
      </c>
      <c r="AG151" s="422"/>
      <c r="AH151" s="422"/>
      <c r="AI151" s="422"/>
      <c r="AJ151" s="422"/>
      <c r="AK151" s="422"/>
      <c r="AL151" s="422"/>
      <c r="AM151" s="422"/>
      <c r="AN151" s="422"/>
      <c r="AO151" s="422"/>
      <c r="AP151" s="422"/>
      <c r="AQ151" s="422"/>
    </row>
    <row r="152" spans="1:43" s="521" customFormat="1" ht="12.75" customHeight="1">
      <c r="A152" s="4"/>
      <c r="B152" s="5"/>
      <c r="C152" s="554">
        <v>8</v>
      </c>
      <c r="D152" s="1010">
        <f t="shared" si="49"/>
      </c>
      <c r="E152" s="1011"/>
      <c r="F152" s="1011"/>
      <c r="G152" s="1012"/>
      <c r="H152" s="571">
        <f t="shared" si="50"/>
      </c>
      <c r="I152" s="572">
        <f t="shared" si="59"/>
      </c>
      <c r="J152" s="572">
        <f t="shared" si="51"/>
      </c>
      <c r="K152" s="549"/>
      <c r="L152" s="568"/>
      <c r="M152" s="568"/>
      <c r="N152" s="568"/>
      <c r="O152" s="322"/>
      <c r="P152" s="9"/>
      <c r="Q152" s="450" t="str">
        <f t="shared" si="52"/>
        <v>CAPINI_</v>
      </c>
      <c r="R152" s="454"/>
      <c r="S152" s="440"/>
      <c r="T152" s="440"/>
      <c r="U152" s="440"/>
      <c r="V152" s="452">
        <f t="shared" si="60"/>
        <v>2</v>
      </c>
      <c r="W152" s="440"/>
      <c r="X152" s="459">
        <f>SUMIF(C_MergerSplitTransfer!$U$9:$U$68,$Q152,CHOOSE($V152,C_MergerSplitTransfer!I$9:I$68,C_MergerSplitTransfer!L$9:L$68))</f>
        <v>0</v>
      </c>
      <c r="Y152" s="459">
        <f>SUMIF(C_MergerSplitTransfer!$U$9:$U$68,$Q152,CHOOSE($V152,C_MergerSplitTransfer!J$9:J$68,C_MergerSplitTransfer!M$9:M$68))</f>
        <v>0</v>
      </c>
      <c r="Z152" s="422"/>
      <c r="AA152" s="450">
        <f t="shared" si="53"/>
      </c>
      <c r="AB152" s="450">
        <f t="shared" si="54"/>
      </c>
      <c r="AC152" s="450">
        <f t="shared" si="55"/>
      </c>
      <c r="AD152" s="450">
        <f t="shared" si="56"/>
      </c>
      <c r="AE152" s="450">
        <f t="shared" si="57"/>
      </c>
      <c r="AF152" s="450">
        <f t="shared" si="58"/>
      </c>
      <c r="AG152" s="422"/>
      <c r="AH152" s="422"/>
      <c r="AI152" s="422"/>
      <c r="AJ152" s="422"/>
      <c r="AK152" s="422"/>
      <c r="AL152" s="422"/>
      <c r="AM152" s="422"/>
      <c r="AN152" s="422"/>
      <c r="AO152" s="422"/>
      <c r="AP152" s="422"/>
      <c r="AQ152" s="422"/>
    </row>
    <row r="153" spans="1:43" s="521" customFormat="1" ht="12.75" customHeight="1">
      <c r="A153" s="4"/>
      <c r="B153" s="5"/>
      <c r="C153" s="554">
        <v>9</v>
      </c>
      <c r="D153" s="1010">
        <f t="shared" si="49"/>
      </c>
      <c r="E153" s="1011"/>
      <c r="F153" s="1011"/>
      <c r="G153" s="1012"/>
      <c r="H153" s="571">
        <f t="shared" si="50"/>
      </c>
      <c r="I153" s="572">
        <f t="shared" si="59"/>
      </c>
      <c r="J153" s="572">
        <f t="shared" si="51"/>
      </c>
      <c r="K153" s="549"/>
      <c r="L153" s="568"/>
      <c r="M153" s="568"/>
      <c r="N153" s="568"/>
      <c r="O153" s="322"/>
      <c r="P153" s="9"/>
      <c r="Q153" s="450" t="str">
        <f t="shared" si="52"/>
        <v>CAPINI_</v>
      </c>
      <c r="R153" s="454"/>
      <c r="S153" s="440"/>
      <c r="T153" s="440"/>
      <c r="U153" s="440"/>
      <c r="V153" s="452">
        <f t="shared" si="60"/>
        <v>2</v>
      </c>
      <c r="W153" s="440"/>
      <c r="X153" s="459">
        <f>SUMIF(C_MergerSplitTransfer!$U$9:$U$68,$Q153,CHOOSE($V153,C_MergerSplitTransfer!I$9:I$68,C_MergerSplitTransfer!L$9:L$68))</f>
        <v>0</v>
      </c>
      <c r="Y153" s="459">
        <f>SUMIF(C_MergerSplitTransfer!$U$9:$U$68,$Q153,CHOOSE($V153,C_MergerSplitTransfer!J$9:J$68,C_MergerSplitTransfer!M$9:M$68))</f>
        <v>0</v>
      </c>
      <c r="Z153" s="422"/>
      <c r="AA153" s="450">
        <f t="shared" si="53"/>
      </c>
      <c r="AB153" s="450">
        <f t="shared" si="54"/>
      </c>
      <c r="AC153" s="450">
        <f t="shared" si="55"/>
      </c>
      <c r="AD153" s="450">
        <f t="shared" si="56"/>
      </c>
      <c r="AE153" s="450">
        <f t="shared" si="57"/>
      </c>
      <c r="AF153" s="450">
        <f t="shared" si="58"/>
      </c>
      <c r="AG153" s="422"/>
      <c r="AH153" s="422"/>
      <c r="AI153" s="422"/>
      <c r="AJ153" s="422"/>
      <c r="AK153" s="422"/>
      <c r="AL153" s="422"/>
      <c r="AM153" s="422"/>
      <c r="AN153" s="422"/>
      <c r="AO153" s="422"/>
      <c r="AP153" s="422"/>
      <c r="AQ153" s="422"/>
    </row>
    <row r="154" spans="1:43" s="521" customFormat="1" ht="12.75" customHeight="1">
      <c r="A154" s="4"/>
      <c r="B154" s="5"/>
      <c r="C154" s="557">
        <v>10</v>
      </c>
      <c r="D154" s="1013">
        <f t="shared" si="49"/>
      </c>
      <c r="E154" s="1014"/>
      <c r="F154" s="1014"/>
      <c r="G154" s="1015"/>
      <c r="H154" s="573">
        <f t="shared" si="50"/>
      </c>
      <c r="I154" s="574">
        <f t="shared" si="59"/>
      </c>
      <c r="J154" s="574">
        <f t="shared" si="51"/>
      </c>
      <c r="K154" s="549"/>
      <c r="L154" s="568"/>
      <c r="M154" s="568"/>
      <c r="N154" s="568"/>
      <c r="O154" s="322"/>
      <c r="P154" s="9"/>
      <c r="Q154" s="450" t="str">
        <f t="shared" si="52"/>
        <v>CAPINI_</v>
      </c>
      <c r="R154" s="454"/>
      <c r="S154" s="440"/>
      <c r="T154" s="440"/>
      <c r="U154" s="440"/>
      <c r="V154" s="452">
        <f t="shared" si="60"/>
        <v>2</v>
      </c>
      <c r="W154" s="440"/>
      <c r="X154" s="459">
        <f>SUMIF(C_MergerSplitTransfer!$U$9:$U$68,$Q154,CHOOSE($V154,C_MergerSplitTransfer!I$9:I$68,C_MergerSplitTransfer!L$9:L$68))</f>
        <v>0</v>
      </c>
      <c r="Y154" s="459">
        <f>SUMIF(C_MergerSplitTransfer!$U$9:$U$68,$Q154,CHOOSE($V154,C_MergerSplitTransfer!J$9:J$68,C_MergerSplitTransfer!M$9:M$68))</f>
        <v>0</v>
      </c>
      <c r="Z154" s="422"/>
      <c r="AA154" s="450">
        <f t="shared" si="53"/>
      </c>
      <c r="AB154" s="450">
        <f t="shared" si="54"/>
      </c>
      <c r="AC154" s="450">
        <f t="shared" si="55"/>
      </c>
      <c r="AD154" s="450">
        <f t="shared" si="56"/>
      </c>
      <c r="AE154" s="450">
        <f t="shared" si="57"/>
      </c>
      <c r="AF154" s="450">
        <f t="shared" si="58"/>
      </c>
      <c r="AG154" s="422"/>
      <c r="AH154" s="422"/>
      <c r="AI154" s="422"/>
      <c r="AJ154" s="422"/>
      <c r="AK154" s="422"/>
      <c r="AL154" s="422"/>
      <c r="AM154" s="422"/>
      <c r="AN154" s="422"/>
      <c r="AO154" s="422"/>
      <c r="AP154" s="422"/>
      <c r="AQ154" s="422"/>
    </row>
    <row r="155" spans="1:43" s="521" customFormat="1" ht="12.75" customHeight="1">
      <c r="A155" s="4"/>
      <c r="B155" s="5"/>
      <c r="C155" s="554">
        <v>11</v>
      </c>
      <c r="D155" s="1016" t="str">
        <f aca="true" t="shared" si="61" ref="D155:D160">INDEX(EUconst_FallBackListNames,C155-10)</f>
        <v>Sottoimpianto oggetto di un parametro di riferimento relativo al calore, CL</v>
      </c>
      <c r="E155" s="1017"/>
      <c r="F155" s="1017"/>
      <c r="G155" s="1018"/>
      <c r="H155" s="569" t="str">
        <f aca="true" t="shared" si="62" ref="H155:H160">IF(D155&lt;&gt;"",INDEX(EUconst_FallBackListUnits,MATCH($D155,EUconst_FallBackListNames,0))&amp;" / "&amp;EUconst_Year,"")</f>
        <v>TJ / anno</v>
      </c>
      <c r="I155" s="570">
        <f t="shared" si="59"/>
      </c>
      <c r="J155" s="570">
        <f t="shared" si="51"/>
      </c>
      <c r="K155" s="549"/>
      <c r="L155" s="568"/>
      <c r="M155" s="568"/>
      <c r="N155" s="568"/>
      <c r="O155" s="322"/>
      <c r="P155" s="9"/>
      <c r="Q155" s="450" t="str">
        <f t="shared" si="52"/>
        <v>CAPINI_Sottoimpianto oggetto di un parametro di riferimento relativo al calore, CL</v>
      </c>
      <c r="R155" s="454"/>
      <c r="S155" s="440"/>
      <c r="T155" s="440"/>
      <c r="U155" s="440"/>
      <c r="V155" s="452">
        <f t="shared" si="60"/>
        <v>2</v>
      </c>
      <c r="W155" s="440"/>
      <c r="X155" s="459">
        <f>SUMIF(C_MergerSplitTransfer!$U$9:$U$68,$Q155,CHOOSE($V155,C_MergerSplitTransfer!I$9:I$68,C_MergerSplitTransfer!L$9:L$68))</f>
        <v>0</v>
      </c>
      <c r="Y155" s="459">
        <f>SUMIF(C_MergerSplitTransfer!$U$9:$U$68,$Q155,CHOOSE($V155,C_MergerSplitTransfer!J$9:J$68,C_MergerSplitTransfer!M$9:M$68))</f>
        <v>0</v>
      </c>
      <c r="Z155" s="422"/>
      <c r="AA155" s="450" t="b">
        <v>1</v>
      </c>
      <c r="AB155" s="450">
        <f>EUwideConstants!$C$304</f>
        <v>91</v>
      </c>
      <c r="AC155" s="450">
        <f>EUwideConstants!$H$304</f>
        <v>62.3</v>
      </c>
      <c r="AD155" s="450" t="str">
        <f aca="true" t="shared" si="63" ref="AD155:AD160">EUconst_EUA&amp;" / "&amp;AE155</f>
        <v>EUA / TJ</v>
      </c>
      <c r="AE155" s="450" t="str">
        <f>EUconst_TJ</f>
        <v>TJ</v>
      </c>
      <c r="AF155" s="450" t="str">
        <f aca="true" t="shared" si="64" ref="AF155:AF160">AE155&amp;" / "&amp;EUconst_Year</f>
        <v>TJ / anno</v>
      </c>
      <c r="AG155" s="422"/>
      <c r="AH155" s="422"/>
      <c r="AI155" s="422"/>
      <c r="AJ155" s="422"/>
      <c r="AK155" s="422"/>
      <c r="AL155" s="422"/>
      <c r="AM155" s="422"/>
      <c r="AN155" s="422"/>
      <c r="AO155" s="422"/>
      <c r="AP155" s="422"/>
      <c r="AQ155" s="422"/>
    </row>
    <row r="156" spans="1:43" s="521" customFormat="1" ht="12.75" customHeight="1">
      <c r="A156" s="4"/>
      <c r="B156" s="5"/>
      <c r="C156" s="554">
        <v>12</v>
      </c>
      <c r="D156" s="999" t="str">
        <f t="shared" si="61"/>
        <v>Sottoimpianto oggetto di un parametro di riferimento relativo al calore, non CL</v>
      </c>
      <c r="E156" s="1000"/>
      <c r="F156" s="1000"/>
      <c r="G156" s="1001"/>
      <c r="H156" s="571" t="str">
        <f t="shared" si="62"/>
        <v>TJ / anno</v>
      </c>
      <c r="I156" s="572">
        <f t="shared" si="59"/>
      </c>
      <c r="J156" s="572">
        <f t="shared" si="51"/>
      </c>
      <c r="K156" s="549"/>
      <c r="L156" s="568"/>
      <c r="M156" s="568"/>
      <c r="N156" s="568"/>
      <c r="O156" s="322"/>
      <c r="P156" s="9"/>
      <c r="Q156" s="450" t="str">
        <f t="shared" si="52"/>
        <v>CAPINI_Sottoimpianto oggetto di un parametro di riferimento relativo al calore, non CL</v>
      </c>
      <c r="R156" s="454"/>
      <c r="S156" s="440"/>
      <c r="T156" s="440"/>
      <c r="U156" s="440"/>
      <c r="V156" s="452">
        <f t="shared" si="60"/>
        <v>2</v>
      </c>
      <c r="W156" s="440"/>
      <c r="X156" s="459">
        <f>SUMIF(C_MergerSplitTransfer!$U$9:$U$68,$Q156,CHOOSE($V156,C_MergerSplitTransfer!I$9:I$68,C_MergerSplitTransfer!L$9:L$68))</f>
        <v>0</v>
      </c>
      <c r="Y156" s="459">
        <f>SUMIF(C_MergerSplitTransfer!$U$9:$U$68,$Q156,CHOOSE($V156,C_MergerSplitTransfer!J$9:J$68,C_MergerSplitTransfer!M$9:M$68))</f>
        <v>0</v>
      </c>
      <c r="Z156" s="422"/>
      <c r="AA156" s="450" t="b">
        <v>0</v>
      </c>
      <c r="AB156" s="450">
        <f>EUwideConstants!$C$305</f>
        <v>92</v>
      </c>
      <c r="AC156" s="450">
        <f>EUwideConstants!$H$305</f>
        <v>62.3</v>
      </c>
      <c r="AD156" s="450" t="str">
        <f t="shared" si="63"/>
        <v>EUA / TJ</v>
      </c>
      <c r="AE156" s="450" t="str">
        <f>EUconst_TJ</f>
        <v>TJ</v>
      </c>
      <c r="AF156" s="450" t="str">
        <f t="shared" si="64"/>
        <v>TJ / anno</v>
      </c>
      <c r="AG156" s="422"/>
      <c r="AH156" s="422"/>
      <c r="AI156" s="422"/>
      <c r="AJ156" s="422"/>
      <c r="AK156" s="422"/>
      <c r="AL156" s="422"/>
      <c r="AM156" s="422"/>
      <c r="AN156" s="422"/>
      <c r="AO156" s="422"/>
      <c r="AP156" s="422"/>
      <c r="AQ156" s="422"/>
    </row>
    <row r="157" spans="1:43" s="521" customFormat="1" ht="12.75" customHeight="1">
      <c r="A157" s="4"/>
      <c r="B157" s="5"/>
      <c r="C157" s="554">
        <v>13</v>
      </c>
      <c r="D157" s="999" t="str">
        <f t="shared" si="61"/>
        <v>Sottoimpianto oggetto di un parametro di riferimento relativo al combustibile, CL</v>
      </c>
      <c r="E157" s="1000"/>
      <c r="F157" s="1000"/>
      <c r="G157" s="1001"/>
      <c r="H157" s="571" t="str">
        <f t="shared" si="62"/>
        <v>TJ / anno</v>
      </c>
      <c r="I157" s="572">
        <f t="shared" si="59"/>
      </c>
      <c r="J157" s="572">
        <f t="shared" si="51"/>
      </c>
      <c r="K157" s="549"/>
      <c r="L157" s="568"/>
      <c r="M157" s="568"/>
      <c r="N157" s="568"/>
      <c r="O157" s="322"/>
      <c r="P157" s="9"/>
      <c r="Q157" s="450" t="str">
        <f t="shared" si="52"/>
        <v>CAPINI_Sottoimpianto oggetto di un parametro di riferimento relativo al combustibile, CL</v>
      </c>
      <c r="R157" s="454"/>
      <c r="S157" s="440"/>
      <c r="T157" s="440"/>
      <c r="U157" s="440"/>
      <c r="V157" s="452">
        <f t="shared" si="60"/>
        <v>2</v>
      </c>
      <c r="W157" s="440"/>
      <c r="X157" s="459">
        <f>SUMIF(C_MergerSplitTransfer!$U$9:$U$68,$Q157,CHOOSE($V157,C_MergerSplitTransfer!I$9:I$68,C_MergerSplitTransfer!L$9:L$68))</f>
        <v>0</v>
      </c>
      <c r="Y157" s="459">
        <f>SUMIF(C_MergerSplitTransfer!$U$9:$U$68,$Q157,CHOOSE($V157,C_MergerSplitTransfer!J$9:J$68,C_MergerSplitTransfer!M$9:M$68))</f>
        <v>0</v>
      </c>
      <c r="Z157" s="422"/>
      <c r="AA157" s="450" t="b">
        <v>1</v>
      </c>
      <c r="AB157" s="450">
        <f>EUwideConstants!$C$306</f>
        <v>93</v>
      </c>
      <c r="AC157" s="450">
        <f>EUwideConstants!$H$306</f>
        <v>56.1</v>
      </c>
      <c r="AD157" s="450" t="str">
        <f t="shared" si="63"/>
        <v>EUA / TJ</v>
      </c>
      <c r="AE157" s="450" t="str">
        <f>EUconst_TJ</f>
        <v>TJ</v>
      </c>
      <c r="AF157" s="450" t="str">
        <f t="shared" si="64"/>
        <v>TJ / anno</v>
      </c>
      <c r="AG157" s="422"/>
      <c r="AH157" s="422"/>
      <c r="AI157" s="422"/>
      <c r="AJ157" s="422"/>
      <c r="AK157" s="422"/>
      <c r="AL157" s="422"/>
      <c r="AM157" s="422"/>
      <c r="AN157" s="422"/>
      <c r="AO157" s="422"/>
      <c r="AP157" s="422"/>
      <c r="AQ157" s="422"/>
    </row>
    <row r="158" spans="1:43" s="521" customFormat="1" ht="12.75" customHeight="1">
      <c r="A158" s="4"/>
      <c r="B158" s="5"/>
      <c r="C158" s="554">
        <v>14</v>
      </c>
      <c r="D158" s="999" t="str">
        <f t="shared" si="61"/>
        <v>Sottoimpianto oggetto di un parametro di riferimento relativo al combustibile, non CL</v>
      </c>
      <c r="E158" s="1000"/>
      <c r="F158" s="1000"/>
      <c r="G158" s="1001"/>
      <c r="H158" s="571" t="str">
        <f t="shared" si="62"/>
        <v>TJ / anno</v>
      </c>
      <c r="I158" s="572">
        <f t="shared" si="59"/>
      </c>
      <c r="J158" s="572">
        <f t="shared" si="51"/>
      </c>
      <c r="K158" s="549"/>
      <c r="L158" s="568"/>
      <c r="M158" s="568"/>
      <c r="N158" s="568"/>
      <c r="O158" s="322"/>
      <c r="P158" s="9"/>
      <c r="Q158" s="450" t="str">
        <f t="shared" si="52"/>
        <v>CAPINI_Sottoimpianto oggetto di un parametro di riferimento relativo al combustibile, non CL</v>
      </c>
      <c r="R158" s="454"/>
      <c r="S158" s="440"/>
      <c r="T158" s="440"/>
      <c r="U158" s="440"/>
      <c r="V158" s="452">
        <f t="shared" si="60"/>
        <v>2</v>
      </c>
      <c r="W158" s="440"/>
      <c r="X158" s="459">
        <f>SUMIF(C_MergerSplitTransfer!$U$9:$U$68,$Q158,CHOOSE($V158,C_MergerSplitTransfer!I$9:I$68,C_MergerSplitTransfer!L$9:L$68))</f>
        <v>0</v>
      </c>
      <c r="Y158" s="459">
        <f>SUMIF(C_MergerSplitTransfer!$U$9:$U$68,$Q158,CHOOSE($V158,C_MergerSplitTransfer!J$9:J$68,C_MergerSplitTransfer!M$9:M$68))</f>
        <v>0</v>
      </c>
      <c r="Z158" s="422"/>
      <c r="AA158" s="450" t="b">
        <v>0</v>
      </c>
      <c r="AB158" s="450">
        <f>EUwideConstants!$C$307</f>
        <v>94</v>
      </c>
      <c r="AC158" s="450">
        <f>EUwideConstants!$H$307</f>
        <v>56.1</v>
      </c>
      <c r="AD158" s="450" t="str">
        <f t="shared" si="63"/>
        <v>EUA / TJ</v>
      </c>
      <c r="AE158" s="450" t="str">
        <f>EUconst_TJ</f>
        <v>TJ</v>
      </c>
      <c r="AF158" s="450" t="str">
        <f t="shared" si="64"/>
        <v>TJ / anno</v>
      </c>
      <c r="AG158" s="422"/>
      <c r="AH158" s="422"/>
      <c r="AI158" s="422"/>
      <c r="AJ158" s="422"/>
      <c r="AK158" s="422"/>
      <c r="AL158" s="422"/>
      <c r="AM158" s="422"/>
      <c r="AN158" s="422"/>
      <c r="AO158" s="422"/>
      <c r="AP158" s="422"/>
      <c r="AQ158" s="422"/>
    </row>
    <row r="159" spans="1:43" s="521" customFormat="1" ht="12.75" customHeight="1">
      <c r="A159" s="4"/>
      <c r="B159" s="5"/>
      <c r="C159" s="554">
        <v>15</v>
      </c>
      <c r="D159" s="999" t="str">
        <f t="shared" si="61"/>
        <v>Sottoimpianto con emissioni di processo, CL</v>
      </c>
      <c r="E159" s="1000"/>
      <c r="F159" s="1000"/>
      <c r="G159" s="1001"/>
      <c r="H159" s="571" t="str">
        <f t="shared" si="62"/>
        <v>t CO2e / anno</v>
      </c>
      <c r="I159" s="572">
        <f t="shared" si="59"/>
      </c>
      <c r="J159" s="572">
        <f t="shared" si="51"/>
      </c>
      <c r="K159" s="549"/>
      <c r="L159" s="568"/>
      <c r="M159" s="568"/>
      <c r="N159" s="568"/>
      <c r="O159" s="322"/>
      <c r="P159" s="9"/>
      <c r="Q159" s="450" t="str">
        <f t="shared" si="52"/>
        <v>CAPINI_Sottoimpianto con emissioni di processo, CL</v>
      </c>
      <c r="R159" s="454"/>
      <c r="S159" s="440"/>
      <c r="T159" s="440"/>
      <c r="U159" s="440"/>
      <c r="V159" s="452">
        <f t="shared" si="60"/>
        <v>2</v>
      </c>
      <c r="W159" s="440"/>
      <c r="X159" s="459">
        <f>SUMIF(C_MergerSplitTransfer!$U$9:$U$68,$Q159,CHOOSE($V159,C_MergerSplitTransfer!I$9:I$68,C_MergerSplitTransfer!L$9:L$68))</f>
        <v>0</v>
      </c>
      <c r="Y159" s="459">
        <f>SUMIF(C_MergerSplitTransfer!$U$9:$U$68,$Q159,CHOOSE($V159,C_MergerSplitTransfer!J$9:J$68,C_MergerSplitTransfer!M$9:M$68))</f>
        <v>0</v>
      </c>
      <c r="Z159" s="422"/>
      <c r="AA159" s="450" t="b">
        <v>1</v>
      </c>
      <c r="AB159" s="450">
        <f>EUwideConstants!$C$308</f>
        <v>95</v>
      </c>
      <c r="AC159" s="450">
        <f>EUwideConstants!$H$308</f>
        <v>0.97</v>
      </c>
      <c r="AD159" s="450" t="str">
        <f t="shared" si="63"/>
        <v>EUA / t CO2e</v>
      </c>
      <c r="AE159" s="450" t="str">
        <f>EUconst_tCO2e</f>
        <v>t CO2e</v>
      </c>
      <c r="AF159" s="450" t="str">
        <f t="shared" si="64"/>
        <v>t CO2e / anno</v>
      </c>
      <c r="AG159" s="422"/>
      <c r="AH159" s="422"/>
      <c r="AI159" s="422"/>
      <c r="AJ159" s="422"/>
      <c r="AK159" s="422"/>
      <c r="AL159" s="422"/>
      <c r="AM159" s="422"/>
      <c r="AN159" s="422"/>
      <c r="AO159" s="422"/>
      <c r="AP159" s="422"/>
      <c r="AQ159" s="422"/>
    </row>
    <row r="160" spans="1:43" s="521" customFormat="1" ht="12.75" customHeight="1" thickBot="1">
      <c r="A160" s="4"/>
      <c r="B160" s="5"/>
      <c r="C160" s="557">
        <v>16</v>
      </c>
      <c r="D160" s="1002" t="str">
        <f t="shared" si="61"/>
        <v>Sottoimpianto con emissioni di processo, non CL</v>
      </c>
      <c r="E160" s="1003"/>
      <c r="F160" s="1003"/>
      <c r="G160" s="1004"/>
      <c r="H160" s="573" t="str">
        <f t="shared" si="62"/>
        <v>t CO2e / anno</v>
      </c>
      <c r="I160" s="574">
        <f t="shared" si="59"/>
      </c>
      <c r="J160" s="574">
        <f t="shared" si="51"/>
      </c>
      <c r="K160" s="549"/>
      <c r="L160" s="568"/>
      <c r="M160" s="568"/>
      <c r="N160" s="568"/>
      <c r="O160" s="322"/>
      <c r="P160" s="9"/>
      <c r="Q160" s="450" t="str">
        <f t="shared" si="52"/>
        <v>CAPINI_Sottoimpianto con emissioni di processo, non CL</v>
      </c>
      <c r="R160" s="454"/>
      <c r="S160" s="440"/>
      <c r="T160" s="440"/>
      <c r="U160" s="440"/>
      <c r="V160" s="453">
        <f t="shared" si="60"/>
        <v>2</v>
      </c>
      <c r="W160" s="440"/>
      <c r="X160" s="459">
        <f>SUMIF(C_MergerSplitTransfer!$U$9:$U$68,$Q160,CHOOSE($V160,C_MergerSplitTransfer!I$9:I$68,C_MergerSplitTransfer!L$9:L$68))</f>
        <v>0</v>
      </c>
      <c r="Y160" s="459">
        <f>SUMIF(C_MergerSplitTransfer!$U$9:$U$68,$Q160,CHOOSE($V160,C_MergerSplitTransfer!J$9:J$68,C_MergerSplitTransfer!M$9:M$68))</f>
        <v>0</v>
      </c>
      <c r="Z160" s="422"/>
      <c r="AA160" s="450" t="b">
        <v>0</v>
      </c>
      <c r="AB160" s="450">
        <f>EUwideConstants!$C$309</f>
        <v>96</v>
      </c>
      <c r="AC160" s="450">
        <f>EUwideConstants!$H$309</f>
        <v>0.97</v>
      </c>
      <c r="AD160" s="450" t="str">
        <f t="shared" si="63"/>
        <v>EUA / t CO2e</v>
      </c>
      <c r="AE160" s="450" t="str">
        <f>EUconst_tCO2e</f>
        <v>t CO2e</v>
      </c>
      <c r="AF160" s="450" t="str">
        <f t="shared" si="64"/>
        <v>t CO2e / anno</v>
      </c>
      <c r="AG160" s="422"/>
      <c r="AH160" s="422"/>
      <c r="AI160" s="422"/>
      <c r="AJ160" s="422"/>
      <c r="AK160" s="422"/>
      <c r="AL160" s="422"/>
      <c r="AM160" s="422"/>
      <c r="AN160" s="422"/>
      <c r="AO160" s="422"/>
      <c r="AP160" s="422"/>
      <c r="AQ160" s="422"/>
    </row>
    <row r="161" spans="1:43" s="521" customFormat="1" ht="12.75" customHeight="1">
      <c r="A161" s="4"/>
      <c r="B161" s="5"/>
      <c r="C161" s="7"/>
      <c r="D161" s="5"/>
      <c r="E161" s="5"/>
      <c r="F161" s="5"/>
      <c r="G161" s="5"/>
      <c r="H161" s="5"/>
      <c r="I161" s="5"/>
      <c r="J161" s="5"/>
      <c r="K161" s="5"/>
      <c r="L161" s="5"/>
      <c r="M161" s="9"/>
      <c r="N161" s="9"/>
      <c r="O161" s="314"/>
      <c r="P161" s="9"/>
      <c r="Q161" s="440"/>
      <c r="R161" s="454"/>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2"/>
    </row>
    <row r="162" spans="1:43" s="521" customFormat="1" ht="12.75" customHeight="1">
      <c r="A162" s="4"/>
      <c r="B162" s="5"/>
      <c r="C162" s="7"/>
      <c r="D162" s="5"/>
      <c r="E162" s="5"/>
      <c r="F162" s="5"/>
      <c r="G162" s="5"/>
      <c r="H162" s="5"/>
      <c r="I162" s="5"/>
      <c r="J162" s="5"/>
      <c r="K162" s="5"/>
      <c r="L162" s="5"/>
      <c r="M162" s="9"/>
      <c r="N162" s="9"/>
      <c r="O162" s="314"/>
      <c r="P162" s="9"/>
      <c r="Q162" s="440"/>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2"/>
    </row>
    <row r="163" spans="1:43" s="521" customFormat="1" ht="12.75" customHeight="1">
      <c r="A163" s="4"/>
      <c r="B163" s="5"/>
      <c r="C163" s="7"/>
      <c r="D163" s="5"/>
      <c r="E163" s="5"/>
      <c r="F163" s="5"/>
      <c r="G163" s="5"/>
      <c r="H163" s="576"/>
      <c r="I163" s="575"/>
      <c r="J163" s="5"/>
      <c r="K163" s="5"/>
      <c r="L163" s="5"/>
      <c r="M163" s="9"/>
      <c r="N163" s="9"/>
      <c r="O163" s="314"/>
      <c r="P163" s="9"/>
      <c r="Q163" s="440"/>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2"/>
    </row>
    <row r="164" spans="1:43" s="521" customFormat="1" ht="12.75" customHeight="1">
      <c r="A164" s="4"/>
      <c r="B164" s="5"/>
      <c r="C164" s="7"/>
      <c r="D164" s="5"/>
      <c r="E164" s="5"/>
      <c r="F164" s="5"/>
      <c r="G164" s="5"/>
      <c r="H164" s="5"/>
      <c r="I164" s="5"/>
      <c r="J164" s="575"/>
      <c r="K164" s="578"/>
      <c r="L164" s="5"/>
      <c r="M164" s="9"/>
      <c r="N164" s="9"/>
      <c r="O164" s="314"/>
      <c r="P164" s="9"/>
      <c r="Q164" s="440"/>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c r="AM164" s="422"/>
      <c r="AN164" s="422"/>
      <c r="AO164" s="422"/>
      <c r="AP164" s="422"/>
      <c r="AQ164" s="422"/>
    </row>
    <row r="165" spans="1:43" s="521" customFormat="1" ht="12.75" customHeight="1">
      <c r="A165" s="4"/>
      <c r="B165" s="5"/>
      <c r="C165" s="7"/>
      <c r="D165" s="5"/>
      <c r="E165" s="5"/>
      <c r="F165" s="5"/>
      <c r="G165" s="5"/>
      <c r="H165" s="5"/>
      <c r="I165" s="576"/>
      <c r="J165" s="5"/>
      <c r="K165" s="5"/>
      <c r="L165" s="5"/>
      <c r="M165" s="9"/>
      <c r="N165" s="9"/>
      <c r="O165" s="314"/>
      <c r="P165" s="9"/>
      <c r="Q165" s="440"/>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c r="AM165" s="422"/>
      <c r="AN165" s="422"/>
      <c r="AO165" s="422"/>
      <c r="AP165" s="422"/>
      <c r="AQ165" s="422"/>
    </row>
    <row r="166" spans="2:9" ht="12.75">
      <c r="B166" s="528"/>
      <c r="C166" s="528"/>
      <c r="E166" s="528"/>
      <c r="I166" s="577"/>
    </row>
    <row r="167" ht="12.75">
      <c r="I167" s="577"/>
    </row>
    <row r="168" spans="2:9" ht="12.75">
      <c r="B168" s="528"/>
      <c r="E168" s="528"/>
      <c r="I168" s="577"/>
    </row>
    <row r="169" ht="12.75">
      <c r="I169" s="577"/>
    </row>
    <row r="170" spans="2:9" ht="12.75">
      <c r="B170" s="528"/>
      <c r="I170" s="577"/>
    </row>
    <row r="171" ht="12.75">
      <c r="I171" s="577"/>
    </row>
    <row r="172" spans="2:9" ht="12.75">
      <c r="B172" s="528"/>
      <c r="I172" s="577"/>
    </row>
    <row r="173" ht="12.75">
      <c r="I173" s="577"/>
    </row>
    <row r="174" spans="2:9" ht="12.75">
      <c r="B174" s="528"/>
      <c r="I174" s="577"/>
    </row>
    <row r="175" spans="2:9" ht="12.75">
      <c r="B175" s="528"/>
      <c r="I175" s="577"/>
    </row>
    <row r="176" ht="12.75">
      <c r="I176" s="577"/>
    </row>
    <row r="177" ht="12.75">
      <c r="I177" s="577"/>
    </row>
    <row r="178" spans="2:9" ht="12.75">
      <c r="B178" s="528"/>
      <c r="I178" s="577"/>
    </row>
    <row r="179" ht="12.75">
      <c r="I179" s="577"/>
    </row>
    <row r="180" ht="12.75">
      <c r="I180" s="577"/>
    </row>
    <row r="181" spans="2:9" ht="12.75">
      <c r="B181" s="528"/>
      <c r="I181" s="577"/>
    </row>
    <row r="182" ht="12.75">
      <c r="I182" s="577"/>
    </row>
    <row r="183" spans="2:9" ht="12.75">
      <c r="B183" s="528"/>
      <c r="I183" s="577"/>
    </row>
    <row r="184" ht="12.75">
      <c r="I184" s="577"/>
    </row>
    <row r="185" ht="12.75">
      <c r="I185" s="577"/>
    </row>
    <row r="186" ht="12.75">
      <c r="I186" s="577"/>
    </row>
    <row r="187" ht="12.75">
      <c r="I187" s="577"/>
    </row>
    <row r="188" ht="12.75">
      <c r="I188" s="577"/>
    </row>
    <row r="189" ht="12.75">
      <c r="I189" s="577"/>
    </row>
    <row r="190" ht="12.75">
      <c r="I190" s="577"/>
    </row>
    <row r="191" ht="12.75">
      <c r="I191" s="577"/>
    </row>
    <row r="192" ht="12.75">
      <c r="I192" s="577"/>
    </row>
    <row r="193" ht="12.75">
      <c r="I193" s="577"/>
    </row>
    <row r="194" ht="12.75">
      <c r="I194" s="577"/>
    </row>
    <row r="195" spans="2:9" ht="12.75">
      <c r="B195" s="528"/>
      <c r="I195" s="577"/>
    </row>
    <row r="196" ht="12.75">
      <c r="I196" s="577"/>
    </row>
    <row r="197" ht="12.75">
      <c r="I197" s="577"/>
    </row>
    <row r="198" ht="12.75">
      <c r="I198" s="577"/>
    </row>
    <row r="199" ht="12.75">
      <c r="I199" s="577"/>
    </row>
    <row r="200" ht="12.75">
      <c r="I200" s="577"/>
    </row>
    <row r="201" ht="12.75">
      <c r="I201" s="577"/>
    </row>
    <row r="202" ht="12.75">
      <c r="I202" s="577"/>
    </row>
    <row r="203" ht="12.75">
      <c r="I203" s="577"/>
    </row>
    <row r="204" ht="12.75">
      <c r="I204" s="577"/>
    </row>
    <row r="205" ht="12.75">
      <c r="I205" s="577"/>
    </row>
    <row r="206" ht="12.75">
      <c r="I206" s="577"/>
    </row>
    <row r="207" ht="12.75">
      <c r="I207" s="577"/>
    </row>
    <row r="208" ht="12.75">
      <c r="I208" s="577"/>
    </row>
    <row r="209" ht="12.75">
      <c r="I209" s="577"/>
    </row>
    <row r="210" ht="12.75">
      <c r="I210" s="577"/>
    </row>
    <row r="211" ht="12.75">
      <c r="I211" s="577"/>
    </row>
    <row r="212" ht="12.75">
      <c r="I212" s="577"/>
    </row>
    <row r="213" ht="12.75">
      <c r="I213" s="577"/>
    </row>
    <row r="214" ht="12.75">
      <c r="I214" s="577"/>
    </row>
    <row r="215" ht="12.75">
      <c r="I215" s="577"/>
    </row>
    <row r="216" ht="12.75">
      <c r="I216" s="577"/>
    </row>
    <row r="217" ht="12.75">
      <c r="I217" s="577"/>
    </row>
    <row r="218" ht="12.75">
      <c r="I218" s="577"/>
    </row>
    <row r="219" ht="12.75">
      <c r="I219" s="577"/>
    </row>
    <row r="220" ht="12.75">
      <c r="I220" s="577"/>
    </row>
    <row r="221" ht="12.75">
      <c r="I221" s="577"/>
    </row>
    <row r="222" ht="12.75">
      <c r="I222" s="577"/>
    </row>
    <row r="223" ht="12.75">
      <c r="I223" s="577"/>
    </row>
    <row r="224" ht="12.75">
      <c r="I224" s="577"/>
    </row>
    <row r="225" ht="12.75">
      <c r="I225" s="577"/>
    </row>
    <row r="226" ht="12.75">
      <c r="I226" s="577"/>
    </row>
    <row r="227" ht="12.75">
      <c r="I227" s="577"/>
    </row>
    <row r="228" ht="12.75">
      <c r="I228" s="577"/>
    </row>
    <row r="229" ht="12.75">
      <c r="I229" s="577"/>
    </row>
    <row r="230" ht="12.75">
      <c r="I230" s="577"/>
    </row>
    <row r="231" ht="12.75">
      <c r="I231" s="577"/>
    </row>
    <row r="232" ht="12.75">
      <c r="I232" s="577"/>
    </row>
    <row r="233" ht="12.75">
      <c r="I233" s="577"/>
    </row>
    <row r="234" ht="12.75">
      <c r="I234" s="577"/>
    </row>
    <row r="235" ht="12.75">
      <c r="I235" s="577"/>
    </row>
    <row r="236" ht="12.75">
      <c r="I236" s="577"/>
    </row>
    <row r="237" ht="12.75">
      <c r="I237" s="577"/>
    </row>
    <row r="238" ht="12.75">
      <c r="I238" s="577"/>
    </row>
    <row r="239" ht="12.75">
      <c r="I239" s="577"/>
    </row>
    <row r="240" ht="12.75">
      <c r="I240" s="577"/>
    </row>
    <row r="241" ht="12.75">
      <c r="I241" s="577"/>
    </row>
    <row r="242" ht="12.75">
      <c r="I242" s="577"/>
    </row>
    <row r="243" ht="12.75">
      <c r="I243" s="577"/>
    </row>
    <row r="244" ht="12.75">
      <c r="I244" s="577"/>
    </row>
    <row r="245" ht="12.75">
      <c r="I245" s="577"/>
    </row>
    <row r="246" ht="12.75">
      <c r="I246" s="577"/>
    </row>
    <row r="247" ht="12.75">
      <c r="I247" s="577"/>
    </row>
    <row r="248" ht="12.75">
      <c r="I248" s="577"/>
    </row>
    <row r="249" ht="12.75">
      <c r="I249" s="577"/>
    </row>
    <row r="250" ht="12.75">
      <c r="I250" s="577"/>
    </row>
    <row r="251" ht="12.75">
      <c r="I251" s="577"/>
    </row>
    <row r="252" ht="12.75">
      <c r="I252" s="577"/>
    </row>
    <row r="253" ht="12.75">
      <c r="I253" s="577"/>
    </row>
    <row r="254" ht="12.75">
      <c r="I254" s="577"/>
    </row>
    <row r="255" ht="12.75">
      <c r="I255" s="577"/>
    </row>
    <row r="256" ht="12.75">
      <c r="I256" s="577"/>
    </row>
    <row r="257" ht="12.75">
      <c r="I257" s="577"/>
    </row>
    <row r="258" ht="12.75">
      <c r="I258" s="577"/>
    </row>
    <row r="259" ht="12.75">
      <c r="I259" s="577"/>
    </row>
    <row r="260" ht="12.75">
      <c r="I260" s="577"/>
    </row>
    <row r="261" ht="12.75">
      <c r="I261" s="577"/>
    </row>
    <row r="262" ht="12.75">
      <c r="I262" s="577"/>
    </row>
    <row r="263" ht="12.75">
      <c r="I263" s="577"/>
    </row>
    <row r="264" ht="12.75">
      <c r="I264" s="577"/>
    </row>
    <row r="265" ht="12.75">
      <c r="I265" s="577"/>
    </row>
    <row r="266" ht="12.75">
      <c r="I266" s="577"/>
    </row>
    <row r="267" ht="12.75">
      <c r="I267" s="577"/>
    </row>
    <row r="268" ht="12.75">
      <c r="I268" s="577"/>
    </row>
    <row r="269" ht="12.75">
      <c r="I269" s="577"/>
    </row>
    <row r="270" ht="12.75">
      <c r="I270" s="577"/>
    </row>
    <row r="271" ht="12.75">
      <c r="I271" s="577"/>
    </row>
    <row r="272" ht="12.75">
      <c r="I272" s="577"/>
    </row>
    <row r="273" ht="12.75">
      <c r="I273" s="577"/>
    </row>
    <row r="274" ht="12.75">
      <c r="I274" s="577"/>
    </row>
    <row r="275" ht="12.75">
      <c r="I275" s="577"/>
    </row>
    <row r="276" ht="12.75">
      <c r="I276" s="577"/>
    </row>
    <row r="277" ht="12.75">
      <c r="I277" s="577"/>
    </row>
    <row r="278" ht="12.75">
      <c r="I278" s="577"/>
    </row>
    <row r="279" ht="12.75">
      <c r="I279" s="577"/>
    </row>
    <row r="280" ht="12.75">
      <c r="I280" s="577"/>
    </row>
    <row r="281" ht="12.75">
      <c r="I281" s="577"/>
    </row>
    <row r="282" ht="12.75">
      <c r="I282" s="577"/>
    </row>
    <row r="283" ht="12.75">
      <c r="I283" s="577"/>
    </row>
    <row r="284" ht="12.75">
      <c r="I284" s="577"/>
    </row>
    <row r="285" ht="12.75">
      <c r="I285" s="577"/>
    </row>
    <row r="286" ht="12.75">
      <c r="I286" s="577"/>
    </row>
    <row r="287" ht="12.75">
      <c r="I287" s="577"/>
    </row>
    <row r="288" ht="12.75">
      <c r="I288" s="577"/>
    </row>
    <row r="289" ht="12.75">
      <c r="I289" s="577"/>
    </row>
    <row r="290" ht="12.75">
      <c r="I290" s="577"/>
    </row>
    <row r="291" ht="12.75">
      <c r="I291" s="577"/>
    </row>
    <row r="292" ht="12.75">
      <c r="I292" s="577"/>
    </row>
    <row r="293" ht="12.75">
      <c r="I293" s="577"/>
    </row>
    <row r="294" ht="12.75">
      <c r="I294" s="577"/>
    </row>
    <row r="295" ht="12.75">
      <c r="I295" s="577"/>
    </row>
    <row r="296" ht="12.75">
      <c r="I296" s="577"/>
    </row>
    <row r="297" ht="12.75">
      <c r="I297" s="577"/>
    </row>
    <row r="298" ht="12.75">
      <c r="I298" s="577"/>
    </row>
    <row r="299" ht="12.75">
      <c r="I299" s="577"/>
    </row>
    <row r="300" ht="12.75">
      <c r="I300" s="577"/>
    </row>
    <row r="301" ht="12.75">
      <c r="I301" s="577"/>
    </row>
    <row r="302" ht="12.75">
      <c r="I302" s="577"/>
    </row>
    <row r="303" ht="12.75">
      <c r="I303" s="577"/>
    </row>
    <row r="304" ht="12.75">
      <c r="I304" s="577"/>
    </row>
    <row r="305" ht="12.75">
      <c r="I305" s="577"/>
    </row>
    <row r="306" ht="12.75">
      <c r="I306" s="577"/>
    </row>
    <row r="307" ht="12.75">
      <c r="I307" s="577"/>
    </row>
    <row r="308" ht="12.75">
      <c r="I308" s="577"/>
    </row>
    <row r="309" ht="12.75">
      <c r="I309" s="577"/>
    </row>
    <row r="310" ht="12.75">
      <c r="I310" s="577"/>
    </row>
    <row r="311" ht="12.75">
      <c r="I311" s="577"/>
    </row>
    <row r="312" ht="12.75">
      <c r="I312" s="577"/>
    </row>
    <row r="313" ht="12.75">
      <c r="I313" s="577"/>
    </row>
    <row r="314" ht="12.75">
      <c r="I314" s="577"/>
    </row>
    <row r="315" ht="12.75">
      <c r="I315" s="577"/>
    </row>
    <row r="316" ht="12.75">
      <c r="I316" s="577"/>
    </row>
    <row r="317" ht="12.75">
      <c r="I317" s="577"/>
    </row>
    <row r="318" ht="12.75">
      <c r="I318" s="577"/>
    </row>
    <row r="319" ht="12.75">
      <c r="I319" s="577"/>
    </row>
    <row r="320" ht="12.75">
      <c r="I320" s="577"/>
    </row>
    <row r="321" ht="12.75">
      <c r="I321" s="577"/>
    </row>
    <row r="322" ht="12.75">
      <c r="I322" s="577"/>
    </row>
    <row r="323" ht="12.75">
      <c r="I323" s="577"/>
    </row>
    <row r="324" ht="12.75">
      <c r="I324" s="577"/>
    </row>
    <row r="325" ht="12.75">
      <c r="I325" s="577"/>
    </row>
    <row r="326" ht="12.75">
      <c r="I326" s="577"/>
    </row>
    <row r="327" ht="12.75">
      <c r="I327" s="577"/>
    </row>
    <row r="328" ht="12.75">
      <c r="I328" s="577"/>
    </row>
    <row r="329" ht="12.75">
      <c r="I329" s="577"/>
    </row>
    <row r="330" ht="12.75">
      <c r="I330" s="577"/>
    </row>
    <row r="331" ht="12.75">
      <c r="I331" s="577"/>
    </row>
    <row r="332" ht="12.75">
      <c r="I332" s="577"/>
    </row>
    <row r="333" ht="12.75">
      <c r="I333" s="577"/>
    </row>
    <row r="334" ht="12.75">
      <c r="I334" s="577"/>
    </row>
    <row r="335" ht="12.75">
      <c r="I335" s="577"/>
    </row>
    <row r="336" ht="12.75">
      <c r="I336" s="577"/>
    </row>
    <row r="337" ht="12.75">
      <c r="I337" s="577"/>
    </row>
    <row r="338" ht="12.75">
      <c r="I338" s="577"/>
    </row>
    <row r="339" ht="12.75">
      <c r="I339" s="577"/>
    </row>
    <row r="340" ht="12.75">
      <c r="I340" s="577"/>
    </row>
    <row r="341" ht="12.75">
      <c r="I341" s="577"/>
    </row>
    <row r="342" ht="12.75">
      <c r="I342" s="577"/>
    </row>
    <row r="343" ht="12.75">
      <c r="I343" s="577"/>
    </row>
    <row r="344" ht="12.75">
      <c r="I344" s="577"/>
    </row>
    <row r="345" ht="12.75">
      <c r="I345" s="577"/>
    </row>
    <row r="346" ht="12.75">
      <c r="I346" s="577"/>
    </row>
    <row r="347" ht="12.75">
      <c r="I347" s="577"/>
    </row>
    <row r="348" ht="12.75">
      <c r="I348" s="577"/>
    </row>
    <row r="349" ht="12.75">
      <c r="I349" s="577"/>
    </row>
    <row r="350" ht="12.75">
      <c r="I350" s="577"/>
    </row>
    <row r="351" ht="12.75">
      <c r="I351" s="577"/>
    </row>
    <row r="352" ht="12.75">
      <c r="I352" s="577"/>
    </row>
    <row r="353" ht="12.75">
      <c r="I353" s="577"/>
    </row>
    <row r="354" ht="12.75">
      <c r="I354" s="577"/>
    </row>
    <row r="355" ht="12.75">
      <c r="I355" s="577"/>
    </row>
    <row r="356" ht="12.75">
      <c r="I356" s="577"/>
    </row>
    <row r="357" ht="12.75">
      <c r="I357" s="577"/>
    </row>
    <row r="358" ht="12.75">
      <c r="I358" s="577"/>
    </row>
    <row r="359" ht="12.75">
      <c r="I359" s="577"/>
    </row>
    <row r="360" ht="12.75">
      <c r="I360" s="577"/>
    </row>
    <row r="361" ht="12.75">
      <c r="I361" s="577"/>
    </row>
    <row r="362" ht="12.75">
      <c r="I362" s="577"/>
    </row>
    <row r="363" ht="12.75">
      <c r="I363" s="577"/>
    </row>
    <row r="364" ht="12.75">
      <c r="I364" s="577"/>
    </row>
    <row r="365" ht="12.75">
      <c r="I365" s="577"/>
    </row>
    <row r="366" ht="12.75">
      <c r="I366" s="577"/>
    </row>
    <row r="367" ht="12.75">
      <c r="I367" s="577"/>
    </row>
    <row r="368" ht="12.75">
      <c r="I368" s="577"/>
    </row>
    <row r="369" ht="12.75">
      <c r="I369" s="577"/>
    </row>
    <row r="370" ht="12.75">
      <c r="I370" s="577"/>
    </row>
    <row r="371" ht="12.75">
      <c r="I371" s="577"/>
    </row>
    <row r="372" ht="12.75">
      <c r="I372" s="577"/>
    </row>
    <row r="373" ht="12.75">
      <c r="I373" s="577"/>
    </row>
    <row r="374" ht="12.75">
      <c r="I374" s="577"/>
    </row>
    <row r="375" ht="12.75">
      <c r="I375" s="577"/>
    </row>
    <row r="376" ht="12.75">
      <c r="I376" s="577"/>
    </row>
    <row r="377" ht="12.75">
      <c r="I377" s="577"/>
    </row>
    <row r="378" ht="12.75">
      <c r="I378" s="577"/>
    </row>
    <row r="379" ht="12.75">
      <c r="I379" s="577"/>
    </row>
    <row r="380" ht="12.75">
      <c r="I380" s="577"/>
    </row>
    <row r="381" ht="12.75">
      <c r="I381" s="577"/>
    </row>
    <row r="382" ht="12.75">
      <c r="I382" s="577"/>
    </row>
    <row r="383" ht="12.75">
      <c r="I383" s="577"/>
    </row>
    <row r="384" ht="12.75">
      <c r="I384" s="577"/>
    </row>
    <row r="385" ht="12.75">
      <c r="I385" s="577"/>
    </row>
    <row r="386" ht="12.75">
      <c r="I386" s="577"/>
    </row>
    <row r="387" ht="12.75">
      <c r="I387" s="577"/>
    </row>
    <row r="388" ht="12.75">
      <c r="I388" s="577"/>
    </row>
    <row r="389" ht="12.75">
      <c r="I389" s="577"/>
    </row>
    <row r="390" ht="12.75">
      <c r="I390" s="577"/>
    </row>
    <row r="391" ht="12.75">
      <c r="I391" s="577"/>
    </row>
    <row r="392" ht="12.75">
      <c r="I392" s="577"/>
    </row>
    <row r="393" ht="12.75">
      <c r="I393" s="577"/>
    </row>
    <row r="394" ht="12.75">
      <c r="I394" s="577"/>
    </row>
    <row r="395" ht="12.75">
      <c r="I395" s="577"/>
    </row>
    <row r="396" ht="12.75">
      <c r="I396" s="577"/>
    </row>
    <row r="397" ht="12.75">
      <c r="I397" s="577"/>
    </row>
    <row r="398" ht="12.75">
      <c r="I398" s="577"/>
    </row>
    <row r="399" ht="12.75">
      <c r="I399" s="577"/>
    </row>
    <row r="400" ht="12.75">
      <c r="I400" s="577"/>
    </row>
    <row r="401" ht="12.75">
      <c r="I401" s="577"/>
    </row>
    <row r="402" ht="12.75">
      <c r="I402" s="577"/>
    </row>
    <row r="403" ht="12.75">
      <c r="I403" s="577"/>
    </row>
    <row r="404" ht="12.75">
      <c r="I404" s="577"/>
    </row>
    <row r="405" ht="12.75">
      <c r="I405" s="577"/>
    </row>
    <row r="406" ht="12.75">
      <c r="I406" s="577"/>
    </row>
    <row r="407" ht="12.75">
      <c r="I407" s="577"/>
    </row>
    <row r="408" ht="12.75">
      <c r="I408" s="577"/>
    </row>
    <row r="409" ht="12.75">
      <c r="I409" s="577"/>
    </row>
    <row r="410" ht="12.75">
      <c r="I410" s="577"/>
    </row>
    <row r="411" ht="12.75">
      <c r="I411" s="577"/>
    </row>
    <row r="412" ht="12.75">
      <c r="I412" s="577"/>
    </row>
    <row r="413" ht="12.75">
      <c r="I413" s="577"/>
    </row>
    <row r="414" ht="12.75">
      <c r="I414" s="577"/>
    </row>
    <row r="415" ht="12.75">
      <c r="I415" s="577"/>
    </row>
    <row r="416" ht="12.75">
      <c r="I416" s="577"/>
    </row>
    <row r="417" ht="12.75">
      <c r="I417" s="577"/>
    </row>
    <row r="418" ht="12.75">
      <c r="I418" s="577"/>
    </row>
    <row r="419" ht="12.75">
      <c r="I419" s="577"/>
    </row>
    <row r="420" ht="12.75">
      <c r="I420" s="577"/>
    </row>
    <row r="421" ht="12.75">
      <c r="I421" s="577"/>
    </row>
    <row r="422" ht="12.75">
      <c r="I422" s="577"/>
    </row>
    <row r="423" ht="12.75">
      <c r="I423" s="577"/>
    </row>
    <row r="424" ht="12.75">
      <c r="I424" s="577"/>
    </row>
    <row r="425" ht="12.75">
      <c r="I425" s="577"/>
    </row>
    <row r="426" ht="12.75">
      <c r="I426" s="577"/>
    </row>
    <row r="427" ht="12.75">
      <c r="I427" s="577"/>
    </row>
    <row r="428" ht="12.75">
      <c r="I428" s="577"/>
    </row>
    <row r="429" ht="12.75">
      <c r="I429" s="577"/>
    </row>
    <row r="430" ht="12.75">
      <c r="I430" s="577"/>
    </row>
    <row r="431" ht="12.75">
      <c r="I431" s="577"/>
    </row>
    <row r="432" ht="12.75">
      <c r="I432" s="577"/>
    </row>
    <row r="433" ht="12.75">
      <c r="I433" s="577"/>
    </row>
    <row r="434" ht="12.75">
      <c r="I434" s="577"/>
    </row>
    <row r="435" ht="12.75">
      <c r="I435" s="577"/>
    </row>
    <row r="436" ht="12.75">
      <c r="I436" s="577"/>
    </row>
    <row r="437" ht="12.75">
      <c r="I437" s="577"/>
    </row>
    <row r="438" ht="12.75">
      <c r="I438" s="577"/>
    </row>
    <row r="439" ht="12.75">
      <c r="I439" s="577"/>
    </row>
    <row r="440" ht="12.75">
      <c r="I440" s="577"/>
    </row>
    <row r="441" ht="12.75">
      <c r="I441" s="577"/>
    </row>
    <row r="442" ht="12.75">
      <c r="I442" s="577"/>
    </row>
    <row r="443" ht="12.75">
      <c r="I443" s="577"/>
    </row>
    <row r="444" ht="12.75">
      <c r="I444" s="577"/>
    </row>
    <row r="445" ht="12.75">
      <c r="I445" s="577"/>
    </row>
    <row r="446" ht="12.75">
      <c r="I446" s="577"/>
    </row>
    <row r="447" ht="12.75">
      <c r="I447" s="577"/>
    </row>
    <row r="448" ht="12.75">
      <c r="I448" s="577"/>
    </row>
    <row r="449" ht="12.75">
      <c r="I449" s="577"/>
    </row>
    <row r="450" ht="12.75">
      <c r="I450" s="577"/>
    </row>
    <row r="451" ht="12.75">
      <c r="I451" s="577"/>
    </row>
    <row r="452" ht="12.75">
      <c r="I452" s="577"/>
    </row>
    <row r="453" ht="12.75">
      <c r="I453" s="577"/>
    </row>
    <row r="454" ht="12.75">
      <c r="I454" s="577"/>
    </row>
    <row r="455" ht="12.75">
      <c r="I455" s="577"/>
    </row>
    <row r="456" ht="12.75">
      <c r="I456" s="577"/>
    </row>
    <row r="457" ht="12.75">
      <c r="I457" s="577"/>
    </row>
    <row r="458" ht="12.75">
      <c r="I458" s="577"/>
    </row>
    <row r="459" ht="12.75">
      <c r="I459" s="577"/>
    </row>
    <row r="460" ht="12.75">
      <c r="I460" s="577"/>
    </row>
    <row r="461" ht="12.75">
      <c r="I461" s="577"/>
    </row>
    <row r="462" ht="12.75">
      <c r="I462" s="577"/>
    </row>
    <row r="463" ht="12.75">
      <c r="I463" s="577"/>
    </row>
    <row r="464" ht="12.75">
      <c r="I464" s="577"/>
    </row>
    <row r="465" ht="12.75">
      <c r="I465" s="577"/>
    </row>
    <row r="466" ht="12.75">
      <c r="I466" s="577"/>
    </row>
    <row r="467" ht="12.75">
      <c r="I467" s="577"/>
    </row>
    <row r="468" ht="12.75">
      <c r="I468" s="577"/>
    </row>
    <row r="469" ht="12.75">
      <c r="I469" s="577"/>
    </row>
    <row r="470" ht="12.75">
      <c r="I470" s="577"/>
    </row>
    <row r="471" ht="12.75">
      <c r="I471" s="577"/>
    </row>
    <row r="472" ht="12.75">
      <c r="I472" s="577"/>
    </row>
    <row r="473" ht="12.75">
      <c r="I473" s="577"/>
    </row>
    <row r="474" ht="12.75">
      <c r="I474" s="577"/>
    </row>
    <row r="475" ht="12.75">
      <c r="I475" s="577"/>
    </row>
    <row r="476" ht="12.75">
      <c r="I476" s="577"/>
    </row>
    <row r="477" ht="12.75">
      <c r="I477" s="577"/>
    </row>
    <row r="478" ht="12.75">
      <c r="I478" s="577"/>
    </row>
    <row r="479" ht="12.75">
      <c r="I479" s="577"/>
    </row>
    <row r="480" ht="12.75">
      <c r="I480" s="577"/>
    </row>
    <row r="481" ht="12.75">
      <c r="I481" s="577"/>
    </row>
    <row r="482" ht="12.75">
      <c r="I482" s="577"/>
    </row>
    <row r="483" ht="12.75">
      <c r="I483" s="577"/>
    </row>
    <row r="484" ht="12.75">
      <c r="I484" s="577"/>
    </row>
    <row r="485" ht="12.75">
      <c r="I485" s="577"/>
    </row>
    <row r="486" ht="12.75">
      <c r="I486" s="577"/>
    </row>
    <row r="487" ht="12.75">
      <c r="I487" s="577"/>
    </row>
    <row r="488" ht="12.75">
      <c r="I488" s="577"/>
    </row>
    <row r="489" ht="12.75">
      <c r="I489" s="577"/>
    </row>
    <row r="490" ht="12.75">
      <c r="I490" s="577"/>
    </row>
    <row r="491" ht="12.75">
      <c r="I491" s="577"/>
    </row>
    <row r="492" ht="12.75">
      <c r="I492" s="577"/>
    </row>
    <row r="493" ht="12.75">
      <c r="I493" s="577"/>
    </row>
    <row r="494" ht="12.75">
      <c r="I494" s="577"/>
    </row>
    <row r="495" ht="12.75">
      <c r="I495" s="577"/>
    </row>
    <row r="496" ht="12.75">
      <c r="I496" s="577"/>
    </row>
    <row r="497" ht="12.75">
      <c r="I497" s="577"/>
    </row>
    <row r="498" ht="12.75">
      <c r="I498" s="577"/>
    </row>
    <row r="499" ht="12.75">
      <c r="I499" s="577"/>
    </row>
    <row r="500" ht="12.75">
      <c r="I500" s="577"/>
    </row>
    <row r="501" ht="12.75">
      <c r="I501" s="577"/>
    </row>
    <row r="502" ht="12.75">
      <c r="I502" s="577"/>
    </row>
    <row r="503" ht="12.75">
      <c r="I503" s="577"/>
    </row>
    <row r="504" ht="12.75">
      <c r="I504" s="577"/>
    </row>
    <row r="505" ht="12.75">
      <c r="I505" s="577"/>
    </row>
    <row r="506" ht="12.75">
      <c r="I506" s="577"/>
    </row>
    <row r="507" ht="12.75">
      <c r="I507" s="577"/>
    </row>
    <row r="508" ht="12.75">
      <c r="I508" s="577"/>
    </row>
    <row r="509" ht="12.75">
      <c r="I509" s="577"/>
    </row>
    <row r="510" ht="12.75">
      <c r="I510" s="577"/>
    </row>
    <row r="511" ht="12.75">
      <c r="I511" s="577"/>
    </row>
    <row r="512" ht="12.75">
      <c r="I512" s="577"/>
    </row>
    <row r="513" ht="12.75">
      <c r="I513" s="577"/>
    </row>
    <row r="514" ht="12.75">
      <c r="I514" s="577"/>
    </row>
    <row r="515" ht="12.75">
      <c r="I515" s="577"/>
    </row>
    <row r="516" ht="12.75">
      <c r="I516" s="577"/>
    </row>
    <row r="517" ht="12.75">
      <c r="I517" s="577"/>
    </row>
    <row r="518" ht="12.75">
      <c r="I518" s="577"/>
    </row>
    <row r="519" ht="12.75">
      <c r="I519" s="577"/>
    </row>
    <row r="520" ht="12.75">
      <c r="I520" s="577"/>
    </row>
    <row r="521" ht="12.75">
      <c r="I521" s="577"/>
    </row>
    <row r="522" ht="12.75">
      <c r="I522" s="577"/>
    </row>
    <row r="523" ht="12.75">
      <c r="I523" s="577"/>
    </row>
    <row r="524" ht="12.75">
      <c r="I524" s="577"/>
    </row>
    <row r="525" ht="12.75">
      <c r="I525" s="577"/>
    </row>
    <row r="526" ht="12.75">
      <c r="I526" s="577"/>
    </row>
    <row r="527" ht="12.75">
      <c r="I527" s="577"/>
    </row>
    <row r="528" ht="12.75">
      <c r="I528" s="577"/>
    </row>
    <row r="529" ht="12.75">
      <c r="I529" s="577"/>
    </row>
    <row r="530" ht="12.75">
      <c r="I530" s="577"/>
    </row>
    <row r="531" ht="12.75">
      <c r="I531" s="577"/>
    </row>
    <row r="532" ht="12.75">
      <c r="I532" s="577"/>
    </row>
    <row r="533" ht="12.75">
      <c r="I533" s="577"/>
    </row>
    <row r="534" ht="12.75">
      <c r="I534" s="577"/>
    </row>
    <row r="535" ht="12.75">
      <c r="I535" s="577"/>
    </row>
    <row r="536" ht="12.75">
      <c r="I536" s="577"/>
    </row>
    <row r="537" ht="12.75">
      <c r="I537" s="577"/>
    </row>
    <row r="538" ht="12.75">
      <c r="I538" s="577"/>
    </row>
    <row r="539" ht="12.75">
      <c r="I539" s="577"/>
    </row>
    <row r="540" ht="12.75">
      <c r="I540" s="577"/>
    </row>
    <row r="541" ht="12.75">
      <c r="I541" s="577"/>
    </row>
    <row r="542" ht="12.75">
      <c r="I542" s="577"/>
    </row>
    <row r="543" ht="12.75">
      <c r="I543" s="577"/>
    </row>
    <row r="544" ht="12.75">
      <c r="I544" s="577"/>
    </row>
    <row r="545" ht="12.75">
      <c r="I545" s="577"/>
    </row>
    <row r="546" ht="12.75">
      <c r="I546" s="577"/>
    </row>
    <row r="547" ht="12.75">
      <c r="I547" s="577"/>
    </row>
    <row r="548" ht="12.75">
      <c r="I548" s="577"/>
    </row>
    <row r="549" ht="12.75">
      <c r="I549" s="577"/>
    </row>
    <row r="550" ht="12.75">
      <c r="I550" s="577"/>
    </row>
    <row r="551" ht="12.75">
      <c r="I551" s="577"/>
    </row>
    <row r="552" ht="12.75">
      <c r="I552" s="577"/>
    </row>
    <row r="553" ht="12.75">
      <c r="I553" s="577"/>
    </row>
    <row r="554" ht="12.75">
      <c r="I554" s="577"/>
    </row>
    <row r="555" ht="12.75">
      <c r="I555" s="577"/>
    </row>
    <row r="556" ht="12.75">
      <c r="I556" s="577"/>
    </row>
    <row r="557" ht="12.75">
      <c r="I557" s="577"/>
    </row>
    <row r="558" ht="12.75">
      <c r="I558" s="577"/>
    </row>
    <row r="559" ht="12.75">
      <c r="I559" s="577"/>
    </row>
    <row r="560" ht="12.75">
      <c r="I560" s="577"/>
    </row>
    <row r="561" ht="12.75">
      <c r="I561" s="577"/>
    </row>
    <row r="562" ht="12.75">
      <c r="I562" s="577"/>
    </row>
    <row r="563" ht="12.75">
      <c r="I563" s="577"/>
    </row>
    <row r="564" ht="12.75">
      <c r="I564" s="577"/>
    </row>
    <row r="565" ht="12.75">
      <c r="I565" s="577"/>
    </row>
    <row r="566" ht="12.75">
      <c r="I566" s="577"/>
    </row>
    <row r="567" ht="12.75">
      <c r="I567" s="577"/>
    </row>
    <row r="568" ht="12.75">
      <c r="I568" s="577"/>
    </row>
    <row r="569" ht="12.75">
      <c r="I569" s="577"/>
    </row>
    <row r="570" ht="12.75">
      <c r="I570" s="577"/>
    </row>
    <row r="571" ht="12.75">
      <c r="I571" s="577"/>
    </row>
    <row r="572" ht="12.75">
      <c r="I572" s="577"/>
    </row>
    <row r="573" ht="12.75">
      <c r="I573" s="577"/>
    </row>
    <row r="574" ht="12.75">
      <c r="I574" s="577"/>
    </row>
    <row r="575" ht="12.75">
      <c r="I575" s="577"/>
    </row>
    <row r="576" ht="12.75">
      <c r="I576" s="577"/>
    </row>
    <row r="577" ht="12.75">
      <c r="I577" s="577"/>
    </row>
    <row r="578" ht="12.75">
      <c r="I578" s="577"/>
    </row>
    <row r="579" ht="12.75">
      <c r="I579" s="577"/>
    </row>
    <row r="580" ht="12.75">
      <c r="I580" s="577"/>
    </row>
    <row r="581" ht="12.75">
      <c r="I581" s="577"/>
    </row>
    <row r="582" ht="12.75">
      <c r="I582" s="577"/>
    </row>
    <row r="583" ht="12.75">
      <c r="I583" s="577"/>
    </row>
    <row r="584" ht="12.75">
      <c r="I584" s="577"/>
    </row>
    <row r="585" ht="12.75">
      <c r="I585" s="577"/>
    </row>
    <row r="586" ht="12.75">
      <c r="I586" s="577"/>
    </row>
    <row r="587" ht="12.75">
      <c r="I587" s="577"/>
    </row>
    <row r="588" ht="12.75">
      <c r="I588" s="577"/>
    </row>
    <row r="589" ht="12.75">
      <c r="I589" s="577"/>
    </row>
    <row r="590" ht="12.75">
      <c r="I590" s="577"/>
    </row>
    <row r="591" ht="12.75">
      <c r="I591" s="577"/>
    </row>
    <row r="592" ht="12.75">
      <c r="I592" s="577"/>
    </row>
    <row r="593" ht="12.75">
      <c r="I593" s="577"/>
    </row>
    <row r="594" ht="12.75">
      <c r="I594" s="577"/>
    </row>
    <row r="595" ht="12.75">
      <c r="I595" s="577"/>
    </row>
    <row r="596" ht="12.75">
      <c r="I596" s="577"/>
    </row>
    <row r="597" ht="12.75">
      <c r="I597" s="577"/>
    </row>
    <row r="598" ht="12.75">
      <c r="I598" s="577"/>
    </row>
    <row r="599" ht="12.75">
      <c r="I599" s="577"/>
    </row>
    <row r="600" ht="12.75">
      <c r="I600" s="577"/>
    </row>
    <row r="601" ht="12.75">
      <c r="I601" s="577"/>
    </row>
    <row r="602" ht="12.75">
      <c r="I602" s="577"/>
    </row>
    <row r="603" ht="12.75">
      <c r="I603" s="577"/>
    </row>
    <row r="604" ht="12.75">
      <c r="I604" s="577"/>
    </row>
    <row r="605" ht="12.75">
      <c r="I605" s="577"/>
    </row>
    <row r="606" ht="12.75">
      <c r="I606" s="577"/>
    </row>
    <row r="607" ht="12.75">
      <c r="I607" s="577"/>
    </row>
    <row r="608" ht="12.75">
      <c r="I608" s="577"/>
    </row>
    <row r="609" ht="12.75">
      <c r="I609" s="577"/>
    </row>
    <row r="610" ht="12.75">
      <c r="I610" s="577"/>
    </row>
    <row r="611" ht="12.75">
      <c r="I611" s="577"/>
    </row>
    <row r="612" ht="12.75">
      <c r="I612" s="577"/>
    </row>
    <row r="613" ht="12.75">
      <c r="I613" s="577"/>
    </row>
    <row r="614" ht="12.75">
      <c r="I614" s="577"/>
    </row>
    <row r="615" ht="12.75">
      <c r="I615" s="577"/>
    </row>
    <row r="616" ht="12.75">
      <c r="I616" s="577"/>
    </row>
    <row r="617" ht="12.75">
      <c r="I617" s="577"/>
    </row>
    <row r="618" ht="12.75">
      <c r="I618" s="577"/>
    </row>
    <row r="619" ht="12.75">
      <c r="I619" s="577"/>
    </row>
    <row r="620" ht="12.75">
      <c r="I620" s="577"/>
    </row>
    <row r="621" ht="12.75">
      <c r="I621" s="577"/>
    </row>
    <row r="622" ht="12.75">
      <c r="I622" s="577"/>
    </row>
    <row r="623" ht="12.75">
      <c r="I623" s="577"/>
    </row>
    <row r="624" ht="12.75">
      <c r="I624" s="577"/>
    </row>
    <row r="625" ht="12.75">
      <c r="I625" s="577"/>
    </row>
    <row r="626" ht="12.75">
      <c r="I626" s="577"/>
    </row>
    <row r="627" ht="12.75">
      <c r="I627" s="577"/>
    </row>
    <row r="628" ht="12.75">
      <c r="I628" s="577"/>
    </row>
    <row r="629" ht="12.75">
      <c r="I629" s="577"/>
    </row>
    <row r="630" ht="12.75">
      <c r="I630" s="577"/>
    </row>
    <row r="631" ht="12.75">
      <c r="I631" s="577"/>
    </row>
    <row r="632" ht="12.75">
      <c r="I632" s="577"/>
    </row>
    <row r="633" ht="12.75">
      <c r="I633" s="577"/>
    </row>
    <row r="634" ht="12.75">
      <c r="I634" s="577"/>
    </row>
    <row r="635" ht="12.75">
      <c r="I635" s="577"/>
    </row>
    <row r="636" ht="12.75">
      <c r="I636" s="577"/>
    </row>
    <row r="637" ht="12.75">
      <c r="I637" s="577"/>
    </row>
    <row r="638" ht="12.75">
      <c r="I638" s="577"/>
    </row>
    <row r="639" ht="12.75">
      <c r="I639" s="577"/>
    </row>
    <row r="640" ht="12.75">
      <c r="I640" s="577"/>
    </row>
    <row r="641" ht="12.75">
      <c r="I641" s="577"/>
    </row>
    <row r="642" ht="12.75">
      <c r="I642" s="577"/>
    </row>
    <row r="643" ht="12.75">
      <c r="I643" s="577"/>
    </row>
    <row r="644" ht="12.75">
      <c r="I644" s="577"/>
    </row>
    <row r="645" ht="12.75">
      <c r="I645" s="577"/>
    </row>
    <row r="646" ht="12.75">
      <c r="I646" s="577"/>
    </row>
    <row r="647" ht="12.75">
      <c r="I647" s="577"/>
    </row>
    <row r="648" ht="12.75">
      <c r="I648" s="577"/>
    </row>
    <row r="649" ht="12.75">
      <c r="I649" s="577"/>
    </row>
    <row r="650" ht="12.75">
      <c r="I650" s="577"/>
    </row>
    <row r="651" ht="12.75">
      <c r="I651" s="577"/>
    </row>
    <row r="652" ht="12.75">
      <c r="I652" s="577"/>
    </row>
    <row r="653" ht="12.75">
      <c r="I653" s="577"/>
    </row>
    <row r="654" ht="12.75">
      <c r="I654" s="577"/>
    </row>
    <row r="655" ht="12.75">
      <c r="I655" s="577"/>
    </row>
    <row r="656" ht="12.75">
      <c r="I656" s="577"/>
    </row>
    <row r="657" ht="12.75">
      <c r="I657" s="577"/>
    </row>
    <row r="658" ht="12.75">
      <c r="I658" s="577"/>
    </row>
    <row r="659" ht="12.75">
      <c r="I659" s="577"/>
    </row>
    <row r="660" ht="12.75">
      <c r="I660" s="577"/>
    </row>
    <row r="661" ht="12.75">
      <c r="I661" s="577"/>
    </row>
    <row r="662" ht="12.75">
      <c r="I662" s="577"/>
    </row>
    <row r="663" ht="12.75">
      <c r="I663" s="577"/>
    </row>
    <row r="664" ht="12.75">
      <c r="I664" s="577"/>
    </row>
    <row r="665" ht="12.75">
      <c r="I665" s="577"/>
    </row>
    <row r="666" ht="12.75">
      <c r="I666" s="577"/>
    </row>
    <row r="667" ht="12.75">
      <c r="I667" s="577"/>
    </row>
    <row r="668" ht="12.75">
      <c r="I668" s="577"/>
    </row>
    <row r="669" ht="12.75">
      <c r="I669" s="577"/>
    </row>
    <row r="670" ht="12.75">
      <c r="I670" s="577"/>
    </row>
    <row r="671" ht="12.75">
      <c r="I671" s="577"/>
    </row>
    <row r="672" ht="12.75">
      <c r="I672" s="577"/>
    </row>
    <row r="673" ht="12.75">
      <c r="I673" s="577"/>
    </row>
    <row r="674" ht="12.75">
      <c r="I674" s="577"/>
    </row>
    <row r="675" ht="12.75">
      <c r="I675" s="577"/>
    </row>
    <row r="676" ht="12.75">
      <c r="I676" s="577"/>
    </row>
    <row r="677" ht="12.75">
      <c r="I677" s="577"/>
    </row>
    <row r="678" ht="12.75">
      <c r="I678" s="577"/>
    </row>
    <row r="679" ht="12.75">
      <c r="I679" s="577"/>
    </row>
    <row r="680" ht="12.75">
      <c r="I680" s="577"/>
    </row>
    <row r="681" ht="12.75">
      <c r="I681" s="577"/>
    </row>
    <row r="682" ht="12.75">
      <c r="I682" s="577"/>
    </row>
    <row r="683" ht="12.75">
      <c r="I683" s="577"/>
    </row>
    <row r="684" ht="12.75">
      <c r="I684" s="577"/>
    </row>
    <row r="685" ht="12.75">
      <c r="I685" s="577"/>
    </row>
    <row r="686" ht="12.75">
      <c r="I686" s="577"/>
    </row>
    <row r="687" ht="12.75">
      <c r="I687" s="577"/>
    </row>
    <row r="688" ht="12.75">
      <c r="I688" s="577"/>
    </row>
    <row r="689" ht="12.75">
      <c r="I689" s="577"/>
    </row>
    <row r="690" ht="12.75">
      <c r="I690" s="577"/>
    </row>
    <row r="691" ht="12.75">
      <c r="I691" s="577"/>
    </row>
    <row r="692" ht="12.75">
      <c r="I692" s="577"/>
    </row>
    <row r="693" ht="12.75">
      <c r="I693" s="577"/>
    </row>
    <row r="694" ht="12.75">
      <c r="I694" s="577"/>
    </row>
    <row r="695" ht="12.75">
      <c r="I695" s="577"/>
    </row>
    <row r="696" ht="12.75">
      <c r="I696" s="577"/>
    </row>
    <row r="697" ht="12.75">
      <c r="I697" s="577"/>
    </row>
    <row r="698" ht="12.75">
      <c r="I698" s="577"/>
    </row>
    <row r="699" ht="12.75">
      <c r="I699" s="577"/>
    </row>
    <row r="700" ht="12.75">
      <c r="I700" s="577"/>
    </row>
    <row r="701" ht="12.75">
      <c r="I701" s="577"/>
    </row>
    <row r="702" ht="12.75">
      <c r="I702" s="577"/>
    </row>
    <row r="703" ht="12.75">
      <c r="I703" s="577"/>
    </row>
    <row r="704" ht="12.75">
      <c r="I704" s="577"/>
    </row>
    <row r="705" ht="12.75">
      <c r="I705" s="577"/>
    </row>
    <row r="706" ht="12.75">
      <c r="I706" s="577"/>
    </row>
    <row r="707" ht="12.75">
      <c r="I707" s="577"/>
    </row>
    <row r="708" ht="12.75">
      <c r="I708" s="577"/>
    </row>
    <row r="709" ht="12.75">
      <c r="I709" s="577"/>
    </row>
    <row r="710" ht="12.75">
      <c r="I710" s="577"/>
    </row>
    <row r="711" ht="12.75">
      <c r="I711" s="577"/>
    </row>
    <row r="712" ht="12.75">
      <c r="I712" s="577"/>
    </row>
    <row r="713" ht="12.75">
      <c r="I713" s="577"/>
    </row>
    <row r="714" ht="12.75">
      <c r="I714" s="577"/>
    </row>
    <row r="715" ht="12.75">
      <c r="I715" s="577"/>
    </row>
    <row r="716" ht="12.75">
      <c r="I716" s="577"/>
    </row>
    <row r="717" ht="12.75">
      <c r="I717" s="577"/>
    </row>
    <row r="718" ht="12.75">
      <c r="I718" s="577"/>
    </row>
    <row r="719" ht="12.75">
      <c r="I719" s="577"/>
    </row>
    <row r="720" ht="12.75">
      <c r="I720" s="577"/>
    </row>
    <row r="721" ht="12.75">
      <c r="I721" s="577"/>
    </row>
    <row r="722" ht="12.75">
      <c r="I722" s="577"/>
    </row>
    <row r="723" ht="12.75">
      <c r="I723" s="577"/>
    </row>
    <row r="724" ht="12.75">
      <c r="I724" s="577"/>
    </row>
    <row r="725" ht="12.75">
      <c r="I725" s="577"/>
    </row>
    <row r="726" ht="12.75">
      <c r="I726" s="577"/>
    </row>
    <row r="727" ht="12.75">
      <c r="I727" s="577"/>
    </row>
    <row r="728" ht="12.75">
      <c r="I728" s="577"/>
    </row>
    <row r="729" ht="12.75">
      <c r="I729" s="577"/>
    </row>
    <row r="730" ht="12.75">
      <c r="I730" s="577"/>
    </row>
    <row r="731" ht="12.75">
      <c r="I731" s="577"/>
    </row>
    <row r="732" ht="12.75">
      <c r="I732" s="577"/>
    </row>
    <row r="733" ht="12.75">
      <c r="I733" s="577"/>
    </row>
    <row r="734" ht="12.75">
      <c r="I734" s="577"/>
    </row>
    <row r="735" ht="12.75">
      <c r="I735" s="577"/>
    </row>
    <row r="736" ht="12.75">
      <c r="I736" s="577"/>
    </row>
    <row r="737" ht="12.75">
      <c r="I737" s="577"/>
    </row>
    <row r="738" ht="12.75">
      <c r="I738" s="577"/>
    </row>
    <row r="739" ht="12.75">
      <c r="I739" s="577"/>
    </row>
    <row r="740" ht="12.75">
      <c r="I740" s="577"/>
    </row>
    <row r="741" ht="12.75">
      <c r="I741" s="577"/>
    </row>
    <row r="742" ht="12.75">
      <c r="I742" s="577"/>
    </row>
    <row r="743" ht="12.75">
      <c r="I743" s="577"/>
    </row>
    <row r="744" ht="12.75">
      <c r="I744" s="577"/>
    </row>
    <row r="745" ht="12.75">
      <c r="I745" s="577"/>
    </row>
    <row r="746" ht="12.75">
      <c r="I746" s="577"/>
    </row>
    <row r="747" ht="12.75">
      <c r="I747" s="577"/>
    </row>
    <row r="748" ht="12.75">
      <c r="I748" s="577"/>
    </row>
    <row r="749" ht="12.75">
      <c r="I749" s="577"/>
    </row>
    <row r="750" ht="12.75">
      <c r="I750" s="577"/>
    </row>
    <row r="751" ht="12.75">
      <c r="I751" s="577"/>
    </row>
    <row r="752" ht="12.75">
      <c r="I752" s="577"/>
    </row>
    <row r="753" ht="12.75">
      <c r="I753" s="577"/>
    </row>
    <row r="754" ht="12.75">
      <c r="I754" s="577"/>
    </row>
    <row r="755" ht="12.75">
      <c r="I755" s="577"/>
    </row>
    <row r="756" ht="12.75">
      <c r="I756" s="577"/>
    </row>
    <row r="757" ht="12.75">
      <c r="I757" s="577"/>
    </row>
    <row r="758" ht="12.75">
      <c r="I758" s="577"/>
    </row>
    <row r="759" ht="12.75">
      <c r="I759" s="577"/>
    </row>
    <row r="760" ht="12.75">
      <c r="I760" s="577"/>
    </row>
    <row r="761" ht="12.75">
      <c r="I761" s="577"/>
    </row>
    <row r="762" ht="12.75">
      <c r="I762" s="577"/>
    </row>
    <row r="763" ht="12.75">
      <c r="I763" s="577"/>
    </row>
    <row r="764" ht="12.75">
      <c r="I764" s="577"/>
    </row>
    <row r="765" ht="12.75">
      <c r="I765" s="577"/>
    </row>
    <row r="766" ht="12.75">
      <c r="I766" s="577"/>
    </row>
    <row r="767" ht="12.75">
      <c r="I767" s="577"/>
    </row>
    <row r="768" ht="12.75">
      <c r="I768" s="577"/>
    </row>
    <row r="769" ht="12.75">
      <c r="I769" s="577"/>
    </row>
    <row r="770" ht="12.75">
      <c r="I770" s="577"/>
    </row>
    <row r="771" ht="12.75">
      <c r="I771" s="577"/>
    </row>
    <row r="772" ht="12.75">
      <c r="I772" s="577"/>
    </row>
    <row r="773" ht="12.75">
      <c r="I773" s="577"/>
    </row>
    <row r="774" ht="12.75">
      <c r="I774" s="577"/>
    </row>
    <row r="775" ht="12.75">
      <c r="I775" s="577"/>
    </row>
    <row r="776" ht="12.75">
      <c r="I776" s="577"/>
    </row>
    <row r="777" ht="12.75">
      <c r="I777" s="577"/>
    </row>
    <row r="778" ht="12.75">
      <c r="I778" s="577"/>
    </row>
    <row r="779" ht="12.75">
      <c r="I779" s="577"/>
    </row>
    <row r="780" ht="12.75">
      <c r="I780" s="577"/>
    </row>
    <row r="781" ht="12.75">
      <c r="I781" s="577"/>
    </row>
    <row r="782" ht="12.75">
      <c r="I782" s="577"/>
    </row>
    <row r="783" ht="12.75">
      <c r="I783" s="577"/>
    </row>
    <row r="784" ht="12.75">
      <c r="I784" s="577"/>
    </row>
    <row r="785" ht="12.75">
      <c r="I785" s="577"/>
    </row>
    <row r="786" ht="12.75">
      <c r="I786" s="577"/>
    </row>
    <row r="787" ht="12.75">
      <c r="I787" s="577"/>
    </row>
    <row r="788" ht="12.75">
      <c r="I788" s="577"/>
    </row>
    <row r="789" ht="12.75">
      <c r="I789" s="577"/>
    </row>
    <row r="790" ht="12.75">
      <c r="I790" s="577"/>
    </row>
    <row r="791" ht="12.75">
      <c r="I791" s="577"/>
    </row>
    <row r="792" ht="12.75">
      <c r="I792" s="577"/>
    </row>
    <row r="793" ht="12.75">
      <c r="I793" s="577"/>
    </row>
    <row r="794" ht="12.75">
      <c r="I794" s="577"/>
    </row>
    <row r="795" ht="12.75">
      <c r="I795" s="577"/>
    </row>
    <row r="796" ht="12.75">
      <c r="I796" s="577"/>
    </row>
    <row r="797" ht="12.75">
      <c r="I797" s="577"/>
    </row>
    <row r="798" ht="12.75">
      <c r="I798" s="577"/>
    </row>
    <row r="799" ht="12.75">
      <c r="I799" s="577"/>
    </row>
    <row r="800" ht="12.75">
      <c r="I800" s="577"/>
    </row>
    <row r="801" ht="12.75">
      <c r="I801" s="577"/>
    </row>
    <row r="802" ht="12.75">
      <c r="I802" s="577"/>
    </row>
    <row r="803" ht="12.75">
      <c r="I803" s="577"/>
    </row>
    <row r="804" ht="12.75">
      <c r="I804" s="577"/>
    </row>
    <row r="805" ht="12.75">
      <c r="I805" s="577"/>
    </row>
    <row r="806" ht="12.75">
      <c r="I806" s="577"/>
    </row>
    <row r="807" ht="12.75">
      <c r="I807" s="577"/>
    </row>
    <row r="808" ht="12.75">
      <c r="I808" s="577"/>
    </row>
    <row r="809" ht="12.75">
      <c r="I809" s="577"/>
    </row>
    <row r="810" ht="12.75">
      <c r="I810" s="577"/>
    </row>
    <row r="811" ht="12.75">
      <c r="I811" s="577"/>
    </row>
    <row r="812" ht="12.75">
      <c r="I812" s="577"/>
    </row>
    <row r="813" ht="12.75">
      <c r="I813" s="577"/>
    </row>
    <row r="814" ht="12.75">
      <c r="I814" s="577"/>
    </row>
    <row r="815" ht="12.75">
      <c r="I815" s="577"/>
    </row>
    <row r="816" ht="12.75">
      <c r="I816" s="577"/>
    </row>
    <row r="817" ht="12.75">
      <c r="I817" s="577"/>
    </row>
    <row r="818" ht="12.75">
      <c r="I818" s="577"/>
    </row>
    <row r="819" ht="12.75">
      <c r="I819" s="577"/>
    </row>
    <row r="820" ht="12.75">
      <c r="I820" s="577"/>
    </row>
    <row r="821" ht="12.75">
      <c r="I821" s="577"/>
    </row>
    <row r="822" ht="12.75">
      <c r="I822" s="577"/>
    </row>
    <row r="823" ht="12.75">
      <c r="I823" s="577"/>
    </row>
    <row r="824" ht="12.75">
      <c r="I824" s="577"/>
    </row>
    <row r="825" ht="12.75">
      <c r="I825" s="577"/>
    </row>
    <row r="826" ht="12.75">
      <c r="I826" s="577"/>
    </row>
    <row r="827" ht="12.75">
      <c r="I827" s="577"/>
    </row>
    <row r="828" ht="12.75">
      <c r="I828" s="577"/>
    </row>
    <row r="829" ht="12.75">
      <c r="I829" s="577"/>
    </row>
    <row r="830" ht="12.75">
      <c r="I830" s="577"/>
    </row>
    <row r="831" ht="12.75">
      <c r="I831" s="577"/>
    </row>
    <row r="832" ht="12.75">
      <c r="I832" s="577"/>
    </row>
    <row r="833" ht="12.75">
      <c r="I833" s="577"/>
    </row>
    <row r="834" ht="12.75">
      <c r="I834" s="577"/>
    </row>
    <row r="835" ht="12.75">
      <c r="I835" s="577"/>
    </row>
    <row r="836" ht="12.75">
      <c r="I836" s="577"/>
    </row>
    <row r="837" ht="12.75">
      <c r="I837" s="577"/>
    </row>
    <row r="838" ht="12.75">
      <c r="I838" s="577"/>
    </row>
    <row r="839" ht="12.75">
      <c r="I839" s="577"/>
    </row>
    <row r="840" ht="12.75">
      <c r="I840" s="577"/>
    </row>
    <row r="841" ht="12.75">
      <c r="I841" s="577"/>
    </row>
    <row r="842" ht="12.75">
      <c r="I842" s="577"/>
    </row>
    <row r="843" ht="12.75">
      <c r="I843" s="577"/>
    </row>
    <row r="844" ht="12.75">
      <c r="I844" s="577"/>
    </row>
    <row r="845" ht="12.75">
      <c r="I845" s="577"/>
    </row>
    <row r="846" ht="12.75">
      <c r="I846" s="577"/>
    </row>
    <row r="847" ht="12.75">
      <c r="I847" s="577"/>
    </row>
    <row r="848" ht="12.75">
      <c r="I848" s="577"/>
    </row>
    <row r="849" ht="12.75">
      <c r="I849" s="577"/>
    </row>
    <row r="850" ht="12.75">
      <c r="I850" s="577"/>
    </row>
    <row r="851" ht="12.75">
      <c r="I851" s="577"/>
    </row>
    <row r="852" ht="12.75">
      <c r="I852" s="577"/>
    </row>
    <row r="853" ht="12.75">
      <c r="I853" s="577"/>
    </row>
    <row r="854" ht="12.75">
      <c r="I854" s="577"/>
    </row>
    <row r="855" ht="12.75">
      <c r="I855" s="577"/>
    </row>
    <row r="856" ht="12.75">
      <c r="I856" s="577"/>
    </row>
    <row r="857" ht="12.75">
      <c r="I857" s="577"/>
    </row>
    <row r="858" ht="12.75">
      <c r="I858" s="577"/>
    </row>
    <row r="859" ht="12.75">
      <c r="I859" s="577"/>
    </row>
    <row r="860" ht="12.75">
      <c r="I860" s="577"/>
    </row>
    <row r="861" ht="12.75">
      <c r="I861" s="577"/>
    </row>
    <row r="862" ht="12.75">
      <c r="I862" s="577"/>
    </row>
    <row r="863" ht="12.75">
      <c r="I863" s="577"/>
    </row>
    <row r="864" ht="12.75">
      <c r="I864" s="577"/>
    </row>
    <row r="865" ht="12.75">
      <c r="I865" s="577"/>
    </row>
    <row r="866" ht="12.75">
      <c r="I866" s="577"/>
    </row>
    <row r="867" ht="12.75">
      <c r="I867" s="577"/>
    </row>
    <row r="868" ht="12.75">
      <c r="I868" s="577"/>
    </row>
    <row r="869" ht="12.75">
      <c r="I869" s="577"/>
    </row>
    <row r="870" ht="12.75">
      <c r="I870" s="577"/>
    </row>
    <row r="871" ht="12.75">
      <c r="I871" s="577"/>
    </row>
    <row r="872" ht="12.75">
      <c r="I872" s="577"/>
    </row>
    <row r="873" ht="12.75">
      <c r="I873" s="577"/>
    </row>
    <row r="874" ht="12.75">
      <c r="I874" s="577"/>
    </row>
    <row r="875" ht="12.75">
      <c r="I875" s="577"/>
    </row>
    <row r="876" ht="12.75">
      <c r="I876" s="577"/>
    </row>
    <row r="877" ht="12.75">
      <c r="I877" s="577"/>
    </row>
    <row r="878" ht="12.75">
      <c r="I878" s="577"/>
    </row>
    <row r="879" ht="12.75">
      <c r="I879" s="577"/>
    </row>
    <row r="880" ht="12.75">
      <c r="I880" s="577"/>
    </row>
    <row r="881" ht="12.75">
      <c r="I881" s="577"/>
    </row>
    <row r="882" ht="12.75">
      <c r="I882" s="577"/>
    </row>
    <row r="883" ht="12.75">
      <c r="I883" s="577"/>
    </row>
    <row r="884" ht="12.75">
      <c r="I884" s="577"/>
    </row>
    <row r="885" ht="12.75">
      <c r="I885" s="577"/>
    </row>
    <row r="886" ht="12.75">
      <c r="I886" s="577"/>
    </row>
    <row r="887" ht="12.75">
      <c r="I887" s="577"/>
    </row>
    <row r="888" ht="12.75">
      <c r="I888" s="577"/>
    </row>
    <row r="889" ht="12.75">
      <c r="I889" s="577"/>
    </row>
    <row r="890" ht="12.75">
      <c r="I890" s="577"/>
    </row>
    <row r="891" ht="12.75">
      <c r="I891" s="577"/>
    </row>
    <row r="892" ht="12.75">
      <c r="I892" s="577"/>
    </row>
    <row r="893" ht="12.75">
      <c r="I893" s="577"/>
    </row>
    <row r="894" ht="12.75">
      <c r="I894" s="577"/>
    </row>
    <row r="895" ht="12.75">
      <c r="I895" s="577"/>
    </row>
    <row r="896" ht="12.75">
      <c r="I896" s="577"/>
    </row>
    <row r="897" ht="12.75">
      <c r="I897" s="577"/>
    </row>
    <row r="898" ht="12.75">
      <c r="I898" s="577"/>
    </row>
    <row r="899" ht="12.75">
      <c r="I899" s="577"/>
    </row>
    <row r="900" ht="12.75">
      <c r="I900" s="577"/>
    </row>
    <row r="901" ht="12.75">
      <c r="I901" s="577"/>
    </row>
    <row r="902" ht="12.75">
      <c r="I902" s="577"/>
    </row>
    <row r="903" ht="12.75">
      <c r="I903" s="577"/>
    </row>
    <row r="904" ht="12.75">
      <c r="I904" s="577"/>
    </row>
    <row r="905" ht="12.75">
      <c r="I905" s="577"/>
    </row>
    <row r="906" ht="12.75">
      <c r="I906" s="577"/>
    </row>
    <row r="907" ht="12.75">
      <c r="I907" s="577"/>
    </row>
    <row r="908" ht="12.75">
      <c r="I908" s="577"/>
    </row>
    <row r="909" ht="12.75">
      <c r="I909" s="577"/>
    </row>
    <row r="910" ht="12.75">
      <c r="I910" s="577"/>
    </row>
    <row r="911" ht="12.75">
      <c r="I911" s="577"/>
    </row>
    <row r="912" ht="12.75">
      <c r="I912" s="577"/>
    </row>
    <row r="913" ht="12.75">
      <c r="I913" s="577"/>
    </row>
    <row r="914" ht="12.75">
      <c r="I914" s="577"/>
    </row>
    <row r="915" ht="12.75">
      <c r="I915" s="577"/>
    </row>
    <row r="916" ht="12.75">
      <c r="I916" s="577"/>
    </row>
    <row r="917" ht="12.75">
      <c r="I917" s="577"/>
    </row>
    <row r="918" ht="12.75">
      <c r="I918" s="577"/>
    </row>
    <row r="919" ht="12.75">
      <c r="I919" s="577"/>
    </row>
    <row r="920" ht="12.75">
      <c r="I920" s="577"/>
    </row>
    <row r="921" ht="12.75">
      <c r="I921" s="577"/>
    </row>
    <row r="922" ht="12.75">
      <c r="I922" s="577"/>
    </row>
    <row r="923" ht="12.75">
      <c r="I923" s="577"/>
    </row>
    <row r="924" ht="12.75">
      <c r="I924" s="577"/>
    </row>
    <row r="925" ht="12.75">
      <c r="I925" s="577"/>
    </row>
    <row r="926" ht="12.75">
      <c r="I926" s="577"/>
    </row>
    <row r="927" ht="12.75">
      <c r="I927" s="577"/>
    </row>
    <row r="928" ht="12.75">
      <c r="I928" s="577"/>
    </row>
    <row r="929" ht="12.75">
      <c r="I929" s="577"/>
    </row>
    <row r="930" ht="12.75">
      <c r="I930" s="577"/>
    </row>
    <row r="931" ht="12.75">
      <c r="I931" s="577"/>
    </row>
    <row r="932" ht="12.75">
      <c r="I932" s="577"/>
    </row>
    <row r="933" ht="12.75">
      <c r="I933" s="577"/>
    </row>
    <row r="934" ht="12.75">
      <c r="I934" s="577"/>
    </row>
    <row r="935" ht="12.75">
      <c r="I935" s="577"/>
    </row>
    <row r="936" ht="12.75">
      <c r="I936" s="577"/>
    </row>
    <row r="937" ht="12.75">
      <c r="I937" s="577"/>
    </row>
    <row r="938" ht="12.75">
      <c r="I938" s="577"/>
    </row>
    <row r="939" ht="12.75">
      <c r="I939" s="577"/>
    </row>
    <row r="940" ht="12.75">
      <c r="I940" s="577"/>
    </row>
    <row r="941" ht="12.75">
      <c r="I941" s="577"/>
    </row>
    <row r="942" ht="12.75">
      <c r="I942" s="577"/>
    </row>
    <row r="943" ht="12.75">
      <c r="I943" s="577"/>
    </row>
    <row r="944" ht="12.75">
      <c r="I944" s="577"/>
    </row>
    <row r="945" ht="12.75">
      <c r="I945" s="577"/>
    </row>
    <row r="946" ht="12.75">
      <c r="I946" s="577"/>
    </row>
    <row r="947" ht="12.75">
      <c r="I947" s="577"/>
    </row>
    <row r="948" ht="12.75">
      <c r="I948" s="577"/>
    </row>
    <row r="949" ht="12.75">
      <c r="I949" s="577"/>
    </row>
    <row r="950" ht="12.75">
      <c r="I950" s="577"/>
    </row>
    <row r="951" ht="12.75">
      <c r="I951" s="577"/>
    </row>
    <row r="952" ht="12.75">
      <c r="I952" s="577"/>
    </row>
    <row r="953" ht="12.75">
      <c r="I953" s="577"/>
    </row>
    <row r="954" ht="12.75">
      <c r="I954" s="577"/>
    </row>
    <row r="955" ht="12.75">
      <c r="I955" s="577"/>
    </row>
    <row r="956" ht="12.75">
      <c r="I956" s="577"/>
    </row>
    <row r="957" ht="12.75">
      <c r="I957" s="577"/>
    </row>
    <row r="958" ht="12.75">
      <c r="I958" s="577"/>
    </row>
    <row r="959" ht="12.75">
      <c r="I959" s="577"/>
    </row>
    <row r="960" ht="12.75">
      <c r="I960" s="577"/>
    </row>
    <row r="961" ht="12.75">
      <c r="I961" s="577"/>
    </row>
    <row r="962" ht="12.75">
      <c r="I962" s="577"/>
    </row>
    <row r="963" ht="12.75">
      <c r="I963" s="577"/>
    </row>
    <row r="964" ht="12.75">
      <c r="I964" s="577"/>
    </row>
    <row r="965" ht="12.75">
      <c r="I965" s="577"/>
    </row>
    <row r="966" ht="12.75">
      <c r="I966" s="577"/>
    </row>
    <row r="967" ht="12.75">
      <c r="I967" s="577"/>
    </row>
    <row r="968" ht="12.75">
      <c r="I968" s="577"/>
    </row>
    <row r="969" ht="12.75">
      <c r="I969" s="577"/>
    </row>
    <row r="970" ht="12.75">
      <c r="I970" s="577"/>
    </row>
    <row r="971" ht="12.75">
      <c r="I971" s="577"/>
    </row>
    <row r="972" ht="12.75">
      <c r="I972" s="577"/>
    </row>
    <row r="973" ht="12.75">
      <c r="I973" s="577"/>
    </row>
    <row r="974" ht="12.75">
      <c r="I974" s="577"/>
    </row>
    <row r="975" ht="12.75">
      <c r="I975" s="577"/>
    </row>
    <row r="976" ht="12.75">
      <c r="I976" s="577"/>
    </row>
    <row r="977" ht="12.75">
      <c r="I977" s="577"/>
    </row>
    <row r="978" ht="12.75">
      <c r="I978" s="577"/>
    </row>
    <row r="979" ht="12.75">
      <c r="I979" s="577"/>
    </row>
    <row r="980" ht="12.75">
      <c r="I980" s="577"/>
    </row>
    <row r="981" ht="12.75">
      <c r="I981" s="577"/>
    </row>
    <row r="982" ht="12.75">
      <c r="I982" s="577"/>
    </row>
    <row r="983" ht="12.75">
      <c r="I983" s="577"/>
    </row>
    <row r="984" ht="12.75">
      <c r="I984" s="577"/>
    </row>
    <row r="985" ht="12.75">
      <c r="I985" s="577"/>
    </row>
    <row r="986" ht="12.75">
      <c r="I986" s="577"/>
    </row>
    <row r="987" ht="12.75">
      <c r="I987" s="577"/>
    </row>
    <row r="988" ht="12.75">
      <c r="I988" s="577"/>
    </row>
    <row r="989" ht="12.75">
      <c r="I989" s="577"/>
    </row>
    <row r="990" ht="12.75">
      <c r="I990" s="577"/>
    </row>
    <row r="991" ht="12.75">
      <c r="I991" s="577"/>
    </row>
    <row r="992" ht="12.75">
      <c r="I992" s="577"/>
    </row>
    <row r="993" ht="12.75">
      <c r="I993" s="577"/>
    </row>
    <row r="994" ht="12.75">
      <c r="I994" s="577"/>
    </row>
    <row r="995" ht="12.75">
      <c r="I995" s="577"/>
    </row>
    <row r="996" ht="12.75">
      <c r="I996" s="577"/>
    </row>
    <row r="997" ht="12.75">
      <c r="I997" s="577"/>
    </row>
    <row r="998" ht="12.75">
      <c r="I998" s="577"/>
    </row>
    <row r="999" ht="12.75">
      <c r="I999" s="577"/>
    </row>
    <row r="1000" ht="12.75">
      <c r="I1000" s="577"/>
    </row>
    <row r="1001" ht="12.75">
      <c r="I1001" s="577"/>
    </row>
    <row r="1002" ht="12.75">
      <c r="I1002" s="577"/>
    </row>
    <row r="1003" ht="12.75">
      <c r="I1003" s="577"/>
    </row>
    <row r="1004" ht="12.75">
      <c r="I1004" s="577"/>
    </row>
    <row r="1005" ht="12.75">
      <c r="I1005" s="577"/>
    </row>
    <row r="1006" ht="12.75">
      <c r="I1006" s="577"/>
    </row>
    <row r="1007" ht="12.75">
      <c r="I1007" s="577"/>
    </row>
    <row r="1008" ht="12.75">
      <c r="I1008" s="577"/>
    </row>
    <row r="1009" ht="12.75">
      <c r="I1009" s="577"/>
    </row>
    <row r="1010" ht="12.75">
      <c r="I1010" s="577"/>
    </row>
    <row r="1011" ht="12.75">
      <c r="I1011" s="577"/>
    </row>
    <row r="1012" ht="12.75">
      <c r="I1012" s="577"/>
    </row>
    <row r="1013" ht="12.75">
      <c r="I1013" s="577"/>
    </row>
    <row r="1014" ht="12.75">
      <c r="I1014" s="577"/>
    </row>
    <row r="1015" ht="12.75">
      <c r="I1015" s="577"/>
    </row>
    <row r="1016" ht="12.75">
      <c r="I1016" s="577"/>
    </row>
    <row r="1017" ht="12.75">
      <c r="I1017" s="577"/>
    </row>
    <row r="1018" ht="12.75">
      <c r="I1018" s="577"/>
    </row>
    <row r="1019" ht="12.75">
      <c r="I1019" s="577"/>
    </row>
    <row r="1020" ht="12.75">
      <c r="I1020" s="577"/>
    </row>
    <row r="1021" ht="12.75">
      <c r="I1021" s="577"/>
    </row>
    <row r="1022" ht="12.75">
      <c r="I1022" s="577"/>
    </row>
    <row r="1023" ht="12.75">
      <c r="I1023" s="577"/>
    </row>
    <row r="1024" ht="12.75">
      <c r="I1024" s="577"/>
    </row>
    <row r="1025" ht="12.75">
      <c r="I1025" s="577"/>
    </row>
    <row r="1026" ht="12.75">
      <c r="I1026" s="577"/>
    </row>
    <row r="1027" ht="12.75">
      <c r="I1027" s="577"/>
    </row>
    <row r="1028" ht="12.75">
      <c r="I1028" s="577"/>
    </row>
    <row r="1029" ht="12.75">
      <c r="I1029" s="577"/>
    </row>
    <row r="1030" ht="12.75">
      <c r="I1030" s="577"/>
    </row>
    <row r="1031" ht="12.75">
      <c r="I1031" s="577"/>
    </row>
    <row r="1032" ht="12.75">
      <c r="I1032" s="577"/>
    </row>
    <row r="1033" ht="12.75">
      <c r="I1033" s="577"/>
    </row>
    <row r="1034" ht="12.75">
      <c r="I1034" s="577"/>
    </row>
    <row r="1035" ht="12.75">
      <c r="I1035" s="577"/>
    </row>
    <row r="1036" ht="12.75">
      <c r="I1036" s="577"/>
    </row>
    <row r="1037" ht="12.75">
      <c r="I1037" s="577"/>
    </row>
    <row r="1038" ht="12.75">
      <c r="I1038" s="577"/>
    </row>
    <row r="1039" ht="12.75">
      <c r="I1039" s="577"/>
    </row>
    <row r="1040" ht="12.75">
      <c r="I1040" s="577"/>
    </row>
    <row r="1041" ht="12.75">
      <c r="I1041" s="577"/>
    </row>
    <row r="1042" ht="12.75">
      <c r="I1042" s="577"/>
    </row>
    <row r="1043" ht="12.75">
      <c r="I1043" s="577"/>
    </row>
    <row r="1044" ht="12.75">
      <c r="I1044" s="577"/>
    </row>
    <row r="1045" ht="12.75">
      <c r="I1045" s="577"/>
    </row>
    <row r="1046" ht="12.75">
      <c r="I1046" s="577"/>
    </row>
    <row r="1047" ht="12.75">
      <c r="I1047" s="577"/>
    </row>
    <row r="1048" ht="12.75">
      <c r="I1048" s="577"/>
    </row>
    <row r="1049" ht="12.75">
      <c r="I1049" s="577"/>
    </row>
    <row r="1050" ht="12.75">
      <c r="I1050" s="577"/>
    </row>
    <row r="1051" ht="12.75">
      <c r="I1051" s="577"/>
    </row>
    <row r="1052" ht="12.75">
      <c r="I1052" s="577"/>
    </row>
    <row r="1053" ht="12.75">
      <c r="I1053" s="577"/>
    </row>
    <row r="1054" ht="12.75">
      <c r="I1054" s="577"/>
    </row>
    <row r="1055" ht="12.75">
      <c r="I1055" s="577"/>
    </row>
    <row r="1056" ht="12.75">
      <c r="I1056" s="577"/>
    </row>
    <row r="1057" ht="12.75">
      <c r="I1057" s="577"/>
    </row>
    <row r="1058" ht="12.75">
      <c r="I1058" s="577"/>
    </row>
    <row r="1059" ht="12.75">
      <c r="I1059" s="577"/>
    </row>
    <row r="1060" ht="12.75">
      <c r="I1060" s="577"/>
    </row>
    <row r="1061" ht="12.75">
      <c r="I1061" s="577"/>
    </row>
    <row r="1062" ht="12.75">
      <c r="I1062" s="577"/>
    </row>
    <row r="1063" ht="12.75">
      <c r="I1063" s="577"/>
    </row>
    <row r="1064" ht="12.75">
      <c r="I1064" s="577"/>
    </row>
    <row r="1065" ht="12.75">
      <c r="I1065" s="577"/>
    </row>
    <row r="1066" ht="12.75">
      <c r="I1066" s="577"/>
    </row>
    <row r="1067" ht="12.75">
      <c r="I1067" s="577"/>
    </row>
    <row r="1068" ht="12.75">
      <c r="I1068" s="577"/>
    </row>
    <row r="1069" ht="12.75">
      <c r="I1069" s="577"/>
    </row>
    <row r="1070" ht="12.75">
      <c r="I1070" s="577"/>
    </row>
    <row r="1071" ht="12.75">
      <c r="I1071" s="577"/>
    </row>
    <row r="1072" ht="12.75">
      <c r="I1072" s="577"/>
    </row>
    <row r="1073" ht="12.75">
      <c r="I1073" s="577"/>
    </row>
    <row r="1074" ht="12.75">
      <c r="I1074" s="577"/>
    </row>
    <row r="1075" ht="12.75">
      <c r="I1075" s="577"/>
    </row>
    <row r="1076" ht="12.75">
      <c r="I1076" s="577"/>
    </row>
    <row r="1077" ht="12.75">
      <c r="I1077" s="577"/>
    </row>
    <row r="1078" ht="12.75">
      <c r="I1078" s="577"/>
    </row>
    <row r="1079" ht="12.75">
      <c r="I1079" s="577"/>
    </row>
    <row r="1080" ht="12.75">
      <c r="I1080" s="577"/>
    </row>
    <row r="1081" ht="12.75">
      <c r="I1081" s="577"/>
    </row>
    <row r="1082" ht="12.75">
      <c r="I1082" s="577"/>
    </row>
    <row r="1083" ht="12.75">
      <c r="I1083" s="577"/>
    </row>
    <row r="1084" ht="12.75">
      <c r="I1084" s="577"/>
    </row>
    <row r="1085" ht="12.75">
      <c r="I1085" s="577"/>
    </row>
    <row r="1086" ht="12.75">
      <c r="I1086" s="577"/>
    </row>
    <row r="1087" ht="12.75">
      <c r="I1087" s="577"/>
    </row>
    <row r="1088" ht="12.75">
      <c r="I1088" s="577"/>
    </row>
    <row r="1089" ht="12.75">
      <c r="I1089" s="577"/>
    </row>
    <row r="1090" ht="12.75">
      <c r="I1090" s="577"/>
    </row>
    <row r="1091" ht="12.75">
      <c r="I1091" s="577"/>
    </row>
    <row r="1092" ht="12.75">
      <c r="I1092" s="577"/>
    </row>
    <row r="1093" ht="12.75">
      <c r="I1093" s="577"/>
    </row>
    <row r="1094" ht="12.75">
      <c r="I1094" s="577"/>
    </row>
    <row r="1095" ht="12.75">
      <c r="I1095" s="577"/>
    </row>
    <row r="1096" ht="12.75">
      <c r="I1096" s="577"/>
    </row>
    <row r="1097" ht="12.75">
      <c r="I1097" s="577"/>
    </row>
    <row r="1098" ht="12.75">
      <c r="I1098" s="577"/>
    </row>
    <row r="1099" ht="12.75">
      <c r="I1099" s="577"/>
    </row>
    <row r="1100" ht="12.75">
      <c r="I1100" s="577"/>
    </row>
    <row r="1101" ht="12.75">
      <c r="I1101" s="577"/>
    </row>
    <row r="1102" ht="12.75">
      <c r="I1102" s="577"/>
    </row>
    <row r="1103" ht="12.75">
      <c r="I1103" s="577"/>
    </row>
    <row r="1104" ht="12.75">
      <c r="I1104" s="577"/>
    </row>
    <row r="1105" ht="12.75">
      <c r="I1105" s="577"/>
    </row>
    <row r="1106" ht="12.75">
      <c r="I1106" s="577"/>
    </row>
    <row r="1107" ht="12.75">
      <c r="I1107" s="577"/>
    </row>
    <row r="1108" ht="12.75">
      <c r="I1108" s="577"/>
    </row>
    <row r="1109" ht="12.75">
      <c r="I1109" s="577"/>
    </row>
    <row r="1110" ht="12.75">
      <c r="I1110" s="577"/>
    </row>
    <row r="1111" ht="12.75">
      <c r="I1111" s="577"/>
    </row>
    <row r="1112" ht="12.75">
      <c r="I1112" s="577"/>
    </row>
    <row r="1113" ht="12.75">
      <c r="I1113" s="577"/>
    </row>
    <row r="1114" ht="12.75">
      <c r="I1114" s="577"/>
    </row>
    <row r="1115" ht="12.75">
      <c r="I1115" s="577"/>
    </row>
    <row r="1116" ht="12.75">
      <c r="I1116" s="577"/>
    </row>
    <row r="1117" ht="12.75">
      <c r="I1117" s="577"/>
    </row>
    <row r="1118" ht="12.75">
      <c r="I1118" s="577"/>
    </row>
    <row r="1119" ht="12.75">
      <c r="I1119" s="577"/>
    </row>
    <row r="1120" ht="12.75">
      <c r="I1120" s="577"/>
    </row>
    <row r="1121" ht="12.75">
      <c r="I1121" s="577"/>
    </row>
    <row r="1122" ht="12.75">
      <c r="I1122" s="577"/>
    </row>
    <row r="1123" ht="12.75">
      <c r="I1123" s="577"/>
    </row>
    <row r="1124" ht="12.75">
      <c r="I1124" s="577"/>
    </row>
    <row r="1125" ht="12.75">
      <c r="I1125" s="577"/>
    </row>
    <row r="1126" ht="12.75">
      <c r="I1126" s="577"/>
    </row>
    <row r="1127" ht="12.75">
      <c r="I1127" s="577"/>
    </row>
    <row r="1128" ht="12.75">
      <c r="I1128" s="577"/>
    </row>
    <row r="1129" ht="12.75">
      <c r="I1129" s="577"/>
    </row>
    <row r="1130" ht="12.75">
      <c r="I1130" s="577"/>
    </row>
    <row r="1131" ht="12.75">
      <c r="I1131" s="577"/>
    </row>
    <row r="1132" ht="12.75">
      <c r="I1132" s="577"/>
    </row>
    <row r="1133" ht="12.75">
      <c r="I1133" s="577"/>
    </row>
    <row r="1134" ht="12.75">
      <c r="I1134" s="577"/>
    </row>
    <row r="1135" ht="12.75">
      <c r="I1135" s="577"/>
    </row>
    <row r="1136" ht="12.75">
      <c r="I1136" s="577"/>
    </row>
    <row r="1137" ht="12.75">
      <c r="I1137" s="577"/>
    </row>
    <row r="1138" ht="12.75">
      <c r="I1138" s="577"/>
    </row>
    <row r="1139" ht="12.75">
      <c r="I1139" s="577"/>
    </row>
    <row r="1140" ht="12.75">
      <c r="I1140" s="577"/>
    </row>
    <row r="1141" ht="12.75">
      <c r="I1141" s="577"/>
    </row>
    <row r="1142" ht="12.75">
      <c r="I1142" s="577"/>
    </row>
    <row r="1143" ht="12.75">
      <c r="I1143" s="577"/>
    </row>
    <row r="1144" ht="12.75">
      <c r="I1144" s="577"/>
    </row>
    <row r="1145" ht="12.75">
      <c r="I1145" s="577"/>
    </row>
    <row r="1146" ht="12.75">
      <c r="I1146" s="577"/>
    </row>
    <row r="1147" ht="12.75">
      <c r="I1147" s="577"/>
    </row>
    <row r="1148" ht="12.75">
      <c r="I1148" s="577"/>
    </row>
    <row r="1149" ht="12.75">
      <c r="I1149" s="577"/>
    </row>
    <row r="1150" ht="12.75">
      <c r="I1150" s="577"/>
    </row>
    <row r="1151" ht="12.75">
      <c r="I1151" s="577"/>
    </row>
    <row r="1152" ht="12.75">
      <c r="I1152" s="577"/>
    </row>
    <row r="1153" ht="12.75">
      <c r="I1153" s="577"/>
    </row>
    <row r="1154" ht="12.75">
      <c r="I1154" s="577"/>
    </row>
    <row r="1155" ht="12.75">
      <c r="I1155" s="577"/>
    </row>
    <row r="1156" ht="12.75">
      <c r="I1156" s="577"/>
    </row>
    <row r="1157" ht="12.75">
      <c r="I1157" s="577"/>
    </row>
    <row r="1158" ht="12.75">
      <c r="I1158" s="577"/>
    </row>
    <row r="1159" ht="12.75">
      <c r="I1159" s="577"/>
    </row>
    <row r="1160" ht="12.75">
      <c r="I1160" s="577"/>
    </row>
    <row r="1161" ht="12.75">
      <c r="I1161" s="577"/>
    </row>
    <row r="1162" ht="12.75">
      <c r="I1162" s="577"/>
    </row>
    <row r="1163" ht="12.75">
      <c r="I1163" s="577"/>
    </row>
    <row r="1164" ht="12.75">
      <c r="I1164" s="577"/>
    </row>
    <row r="1165" ht="12.75">
      <c r="I1165" s="577"/>
    </row>
    <row r="1166" ht="12.75">
      <c r="I1166" s="577"/>
    </row>
    <row r="1167" ht="12.75">
      <c r="I1167" s="577"/>
    </row>
    <row r="1168" ht="12.75">
      <c r="I1168" s="577"/>
    </row>
    <row r="1169" ht="12.75">
      <c r="I1169" s="577"/>
    </row>
    <row r="1170" ht="12.75">
      <c r="I1170" s="577"/>
    </row>
    <row r="1171" ht="12.75">
      <c r="I1171" s="577"/>
    </row>
    <row r="1172" ht="12.75">
      <c r="I1172" s="577"/>
    </row>
    <row r="1173" ht="12.75">
      <c r="I1173" s="577"/>
    </row>
    <row r="1174" ht="12.75">
      <c r="I1174" s="577"/>
    </row>
    <row r="1175" ht="12.75">
      <c r="I1175" s="577"/>
    </row>
    <row r="1176" ht="12.75">
      <c r="I1176" s="577"/>
    </row>
    <row r="1177" ht="12.75">
      <c r="I1177" s="577"/>
    </row>
    <row r="1178" ht="12.75">
      <c r="I1178" s="577"/>
    </row>
    <row r="1179" ht="12.75">
      <c r="I1179" s="577"/>
    </row>
    <row r="1180" ht="12.75">
      <c r="I1180" s="577"/>
    </row>
    <row r="1181" ht="12.75">
      <c r="I1181" s="577"/>
    </row>
    <row r="1182" ht="12.75">
      <c r="I1182" s="577"/>
    </row>
    <row r="1183" ht="12.75">
      <c r="I1183" s="577"/>
    </row>
    <row r="1184" ht="12.75">
      <c r="I1184" s="577"/>
    </row>
    <row r="1185" ht="12.75">
      <c r="I1185" s="577"/>
    </row>
    <row r="1186" ht="12.75">
      <c r="I1186" s="577"/>
    </row>
    <row r="1187" ht="12.75">
      <c r="I1187" s="577"/>
    </row>
    <row r="1188" ht="12.75">
      <c r="I1188" s="577"/>
    </row>
    <row r="1189" ht="12.75">
      <c r="I1189" s="577"/>
    </row>
    <row r="1190" ht="12.75">
      <c r="I1190" s="577"/>
    </row>
    <row r="1191" ht="12.75">
      <c r="I1191" s="577"/>
    </row>
    <row r="1192" ht="12.75">
      <c r="I1192" s="577"/>
    </row>
    <row r="1193" ht="12.75">
      <c r="I1193" s="577"/>
    </row>
    <row r="1194" ht="12.75">
      <c r="I1194" s="577"/>
    </row>
    <row r="1195" ht="12.75">
      <c r="I1195" s="577"/>
    </row>
    <row r="1196" ht="12.75">
      <c r="I1196" s="577"/>
    </row>
    <row r="1197" ht="12.75">
      <c r="I1197" s="577"/>
    </row>
    <row r="1198" ht="12.75">
      <c r="I1198" s="577"/>
    </row>
    <row r="1199" ht="12.75">
      <c r="I1199" s="577"/>
    </row>
    <row r="1200" ht="12.75">
      <c r="I1200" s="577"/>
    </row>
    <row r="1201" ht="12.75">
      <c r="I1201" s="577"/>
    </row>
    <row r="1202" ht="12.75">
      <c r="I1202" s="577"/>
    </row>
    <row r="1203" ht="12.75">
      <c r="I1203" s="577"/>
    </row>
    <row r="1204" ht="12.75">
      <c r="I1204" s="577"/>
    </row>
    <row r="1205" ht="12.75">
      <c r="I1205" s="577"/>
    </row>
    <row r="1206" ht="12.75">
      <c r="I1206" s="577"/>
    </row>
    <row r="1207" ht="12.75">
      <c r="I1207" s="577"/>
    </row>
    <row r="1208" ht="12.75">
      <c r="I1208" s="577"/>
    </row>
    <row r="1209" ht="12.75">
      <c r="I1209" s="577"/>
    </row>
    <row r="1210" ht="12.75">
      <c r="I1210" s="577"/>
    </row>
    <row r="1211" ht="12.75">
      <c r="I1211" s="577"/>
    </row>
    <row r="1212" ht="12.75">
      <c r="I1212" s="577"/>
    </row>
    <row r="1213" ht="12.75">
      <c r="I1213" s="577"/>
    </row>
    <row r="1214" ht="12.75">
      <c r="I1214" s="577"/>
    </row>
    <row r="1215" ht="12.75">
      <c r="I1215" s="577"/>
    </row>
    <row r="1216" ht="12.75">
      <c r="I1216" s="577"/>
    </row>
    <row r="1217" ht="12.75">
      <c r="I1217" s="577"/>
    </row>
    <row r="1218" ht="12.75">
      <c r="I1218" s="577"/>
    </row>
    <row r="1219" ht="12.75">
      <c r="I1219" s="577"/>
    </row>
    <row r="1220" ht="12.75">
      <c r="I1220" s="577"/>
    </row>
    <row r="1221" ht="12.75">
      <c r="I1221" s="577"/>
    </row>
    <row r="1222" ht="12.75">
      <c r="I1222" s="577"/>
    </row>
    <row r="1223" ht="12.75">
      <c r="I1223" s="577"/>
    </row>
    <row r="1224" ht="12.75">
      <c r="I1224" s="577"/>
    </row>
    <row r="1225" ht="12.75">
      <c r="I1225" s="577"/>
    </row>
    <row r="1226" ht="12.75">
      <c r="I1226" s="577"/>
    </row>
    <row r="1227" ht="12.75">
      <c r="I1227" s="577"/>
    </row>
    <row r="1228" ht="12.75">
      <c r="I1228" s="577"/>
    </row>
    <row r="1229" ht="12.75">
      <c r="I1229" s="577"/>
    </row>
    <row r="1230" ht="12.75">
      <c r="I1230" s="577"/>
    </row>
    <row r="1231" ht="12.75">
      <c r="I1231" s="577"/>
    </row>
    <row r="1232" ht="12.75">
      <c r="I1232" s="577"/>
    </row>
    <row r="1233" ht="12.75">
      <c r="I1233" s="577"/>
    </row>
    <row r="1234" ht="12.75">
      <c r="I1234" s="577"/>
    </row>
    <row r="1235" ht="12.75">
      <c r="I1235" s="577"/>
    </row>
    <row r="1236" ht="12.75">
      <c r="I1236" s="577"/>
    </row>
    <row r="1237" ht="12.75">
      <c r="I1237" s="577"/>
    </row>
    <row r="1238" ht="12.75">
      <c r="I1238" s="577"/>
    </row>
    <row r="1239" ht="12.75">
      <c r="I1239" s="577"/>
    </row>
    <row r="1240" ht="12.75">
      <c r="I1240" s="577"/>
    </row>
    <row r="1241" ht="12.75">
      <c r="I1241" s="577"/>
    </row>
    <row r="1242" ht="12.75">
      <c r="I1242" s="577"/>
    </row>
    <row r="1243" ht="12.75">
      <c r="I1243" s="577"/>
    </row>
    <row r="1244" ht="12.75">
      <c r="I1244" s="577"/>
    </row>
    <row r="1245" ht="12.75">
      <c r="I1245" s="577"/>
    </row>
    <row r="1246" ht="12.75">
      <c r="I1246" s="577"/>
    </row>
    <row r="1247" ht="12.75">
      <c r="I1247" s="577"/>
    </row>
    <row r="1248" ht="12.75">
      <c r="I1248" s="577"/>
    </row>
    <row r="1249" ht="12.75">
      <c r="I1249" s="577"/>
    </row>
    <row r="1250" ht="12.75">
      <c r="I1250" s="577"/>
    </row>
    <row r="1251" ht="12.75">
      <c r="I1251" s="577"/>
    </row>
    <row r="1252" ht="12.75">
      <c r="I1252" s="577"/>
    </row>
    <row r="1253" ht="12.75">
      <c r="I1253" s="577"/>
    </row>
    <row r="1254" ht="12.75">
      <c r="I1254" s="577"/>
    </row>
    <row r="1255" ht="12.75">
      <c r="I1255" s="577"/>
    </row>
    <row r="1256" ht="12.75">
      <c r="I1256" s="577"/>
    </row>
    <row r="1257" ht="12.75">
      <c r="I1257" s="577"/>
    </row>
    <row r="1258" ht="12.75">
      <c r="I1258" s="577"/>
    </row>
    <row r="1259" ht="12.75">
      <c r="I1259" s="577"/>
    </row>
    <row r="1260" ht="12.75">
      <c r="I1260" s="577"/>
    </row>
    <row r="1261" ht="12.75">
      <c r="I1261" s="577"/>
    </row>
    <row r="1262" ht="12.75">
      <c r="I1262" s="577"/>
    </row>
    <row r="1263" ht="12.75">
      <c r="I1263" s="577"/>
    </row>
    <row r="1264" ht="12.75">
      <c r="I1264" s="577"/>
    </row>
    <row r="1265" ht="12.75">
      <c r="I1265" s="577"/>
    </row>
    <row r="1266" ht="12.75">
      <c r="I1266" s="577"/>
    </row>
    <row r="1267" ht="12.75">
      <c r="I1267" s="577"/>
    </row>
    <row r="1268" ht="12.75">
      <c r="I1268" s="577"/>
    </row>
    <row r="1269" ht="12.75">
      <c r="I1269" s="577"/>
    </row>
    <row r="1270" ht="12.75">
      <c r="I1270" s="577"/>
    </row>
    <row r="1271" ht="12.75">
      <c r="I1271" s="577"/>
    </row>
    <row r="1272" ht="12.75">
      <c r="I1272" s="577"/>
    </row>
    <row r="1273" ht="12.75">
      <c r="I1273" s="577"/>
    </row>
    <row r="1274" ht="12.75">
      <c r="I1274" s="577"/>
    </row>
    <row r="1275" ht="12.75">
      <c r="I1275" s="577"/>
    </row>
    <row r="1276" ht="12.75">
      <c r="I1276" s="577"/>
    </row>
    <row r="1277" ht="12.75">
      <c r="I1277" s="577"/>
    </row>
    <row r="1278" ht="12.75">
      <c r="I1278" s="577"/>
    </row>
    <row r="1279" ht="12.75">
      <c r="I1279" s="577"/>
    </row>
    <row r="1280" ht="12.75">
      <c r="I1280" s="577"/>
    </row>
    <row r="1281" ht="12.75">
      <c r="I1281" s="577"/>
    </row>
    <row r="1282" ht="12.75">
      <c r="I1282" s="577"/>
    </row>
    <row r="1283" ht="12.75">
      <c r="I1283" s="577"/>
    </row>
    <row r="1284" ht="12.75">
      <c r="I1284" s="577"/>
    </row>
    <row r="1285" ht="12.75">
      <c r="I1285" s="577"/>
    </row>
    <row r="1286" ht="12.75">
      <c r="I1286" s="577"/>
    </row>
    <row r="1287" ht="12.75">
      <c r="I1287" s="577"/>
    </row>
    <row r="1288" ht="12.75">
      <c r="I1288" s="577"/>
    </row>
    <row r="1289" ht="12.75">
      <c r="I1289" s="577"/>
    </row>
    <row r="1290" ht="12.75">
      <c r="I1290" s="577"/>
    </row>
    <row r="1291" ht="12.75">
      <c r="I1291" s="577"/>
    </row>
    <row r="1292" ht="12.75">
      <c r="I1292" s="577"/>
    </row>
    <row r="1293" ht="12.75">
      <c r="I1293" s="577"/>
    </row>
    <row r="1294" ht="12.75">
      <c r="I1294" s="577"/>
    </row>
    <row r="1295" ht="12.75">
      <c r="I1295" s="577"/>
    </row>
    <row r="1296" ht="12.75">
      <c r="I1296" s="577"/>
    </row>
    <row r="1297" ht="12.75">
      <c r="I1297" s="577"/>
    </row>
    <row r="1298" ht="12.75">
      <c r="I1298" s="577"/>
    </row>
    <row r="1299" ht="12.75">
      <c r="I1299" s="577"/>
    </row>
    <row r="1300" ht="12.75">
      <c r="I1300" s="577"/>
    </row>
    <row r="1301" ht="12.75">
      <c r="I1301" s="577"/>
    </row>
    <row r="1302" ht="12.75">
      <c r="I1302" s="577"/>
    </row>
    <row r="1303" ht="12.75">
      <c r="I1303" s="577"/>
    </row>
    <row r="1304" ht="12.75">
      <c r="I1304" s="577"/>
    </row>
    <row r="1305" ht="12.75">
      <c r="I1305" s="577"/>
    </row>
    <row r="1306" ht="12.75">
      <c r="I1306" s="577"/>
    </row>
    <row r="1307" ht="12.75">
      <c r="I1307" s="577"/>
    </row>
    <row r="1308" ht="12.75">
      <c r="I1308" s="577"/>
    </row>
    <row r="1309" ht="12.75">
      <c r="I1309" s="577"/>
    </row>
    <row r="1310" ht="12.75">
      <c r="I1310" s="577"/>
    </row>
    <row r="1311" ht="12.75">
      <c r="I1311" s="577"/>
    </row>
    <row r="1312" ht="12.75">
      <c r="I1312" s="577"/>
    </row>
    <row r="1313" ht="12.75">
      <c r="I1313" s="577"/>
    </row>
    <row r="1314" ht="12.75">
      <c r="I1314" s="577"/>
    </row>
    <row r="1315" ht="12.75">
      <c r="I1315" s="577"/>
    </row>
    <row r="1316" ht="12.75">
      <c r="I1316" s="577"/>
    </row>
    <row r="1317" ht="12.75">
      <c r="I1317" s="577"/>
    </row>
    <row r="1318" ht="12.75">
      <c r="I1318" s="577"/>
    </row>
    <row r="1319" ht="12.75">
      <c r="I1319" s="577"/>
    </row>
    <row r="1320" ht="12.75">
      <c r="I1320" s="577"/>
    </row>
    <row r="1321" ht="12.75">
      <c r="I1321" s="577"/>
    </row>
    <row r="1322" ht="12.75">
      <c r="I1322" s="577"/>
    </row>
    <row r="1323" ht="12.75">
      <c r="I1323" s="577"/>
    </row>
    <row r="1324" ht="12.75">
      <c r="I1324" s="577"/>
    </row>
    <row r="1325" ht="12.75">
      <c r="I1325" s="577"/>
    </row>
    <row r="1326" ht="12.75">
      <c r="I1326" s="577"/>
    </row>
    <row r="1327" ht="12.75">
      <c r="I1327" s="577"/>
    </row>
    <row r="1328" ht="12.75">
      <c r="I1328" s="577"/>
    </row>
    <row r="1329" ht="12.75">
      <c r="I1329" s="577"/>
    </row>
    <row r="1330" ht="12.75">
      <c r="I1330" s="577"/>
    </row>
    <row r="1331" ht="12.75">
      <c r="I1331" s="577"/>
    </row>
    <row r="1332" ht="12.75">
      <c r="I1332" s="577"/>
    </row>
    <row r="1333" ht="12.75">
      <c r="I1333" s="577"/>
    </row>
    <row r="1334" ht="12.75">
      <c r="I1334" s="577"/>
    </row>
    <row r="1335" ht="12.75">
      <c r="I1335" s="577"/>
    </row>
    <row r="1336" ht="12.75">
      <c r="I1336" s="577"/>
    </row>
    <row r="1337" ht="12.75">
      <c r="I1337" s="577"/>
    </row>
    <row r="1338" ht="12.75">
      <c r="I1338" s="577"/>
    </row>
    <row r="1339" ht="12.75">
      <c r="I1339" s="577"/>
    </row>
    <row r="1340" ht="12.75">
      <c r="I1340" s="577"/>
    </row>
    <row r="1341" ht="12.75">
      <c r="I1341" s="577"/>
    </row>
    <row r="1342" ht="12.75">
      <c r="I1342" s="577"/>
    </row>
    <row r="1343" ht="12.75">
      <c r="I1343" s="577"/>
    </row>
    <row r="1344" ht="12.75">
      <c r="I1344" s="577"/>
    </row>
    <row r="1345" ht="12.75">
      <c r="I1345" s="577"/>
    </row>
    <row r="1346" ht="12.75">
      <c r="I1346" s="577"/>
    </row>
    <row r="1347" ht="12.75">
      <c r="I1347" s="577"/>
    </row>
    <row r="1348" ht="12.75">
      <c r="I1348" s="577"/>
    </row>
    <row r="1349" ht="12.75">
      <c r="I1349" s="577"/>
    </row>
    <row r="1350" ht="12.75">
      <c r="I1350" s="577"/>
    </row>
    <row r="1351" ht="12.75">
      <c r="I1351" s="577"/>
    </row>
    <row r="1352" ht="12.75">
      <c r="I1352" s="577"/>
    </row>
    <row r="1353" ht="12.75">
      <c r="I1353" s="577"/>
    </row>
    <row r="1354" ht="12.75">
      <c r="I1354" s="577"/>
    </row>
    <row r="1355" ht="12.75">
      <c r="I1355" s="577"/>
    </row>
    <row r="1356" ht="12.75">
      <c r="I1356" s="577"/>
    </row>
    <row r="1357" ht="12.75">
      <c r="I1357" s="577"/>
    </row>
    <row r="1358" ht="12.75">
      <c r="I1358" s="577"/>
    </row>
    <row r="1359" ht="12.75">
      <c r="I1359" s="577"/>
    </row>
    <row r="1360" ht="12.75">
      <c r="I1360" s="577"/>
    </row>
    <row r="1361" ht="12.75">
      <c r="I1361" s="577"/>
    </row>
    <row r="1362" ht="12.75">
      <c r="I1362" s="577"/>
    </row>
    <row r="1363" ht="12.75">
      <c r="I1363" s="577"/>
    </row>
    <row r="1364" ht="12.75">
      <c r="I1364" s="577"/>
    </row>
    <row r="1365" ht="12.75">
      <c r="I1365" s="577"/>
    </row>
    <row r="1366" ht="12.75">
      <c r="I1366" s="577"/>
    </row>
    <row r="1367" ht="12.75">
      <c r="I1367" s="577"/>
    </row>
    <row r="1368" ht="12.75">
      <c r="I1368" s="577"/>
    </row>
    <row r="1369" ht="12.75">
      <c r="I1369" s="577"/>
    </row>
    <row r="1370" ht="12.75">
      <c r="I1370" s="577"/>
    </row>
    <row r="1371" ht="12.75">
      <c r="I1371" s="577"/>
    </row>
    <row r="1372" ht="12.75">
      <c r="I1372" s="577"/>
    </row>
    <row r="1373" ht="12.75">
      <c r="I1373" s="577"/>
    </row>
    <row r="1374" ht="12.75">
      <c r="I1374" s="577"/>
    </row>
    <row r="1375" ht="12.75">
      <c r="I1375" s="577"/>
    </row>
    <row r="1376" ht="12.75">
      <c r="I1376" s="577"/>
    </row>
    <row r="1377" ht="12.75">
      <c r="I1377" s="577"/>
    </row>
    <row r="1378" ht="12.75">
      <c r="I1378" s="577"/>
    </row>
    <row r="1379" ht="12.75">
      <c r="I1379" s="577"/>
    </row>
    <row r="1380" ht="12.75">
      <c r="I1380" s="577"/>
    </row>
    <row r="1381" ht="12.75">
      <c r="I1381" s="577"/>
    </row>
    <row r="1382" ht="12.75">
      <c r="I1382" s="577"/>
    </row>
    <row r="1383" ht="12.75">
      <c r="I1383" s="577"/>
    </row>
    <row r="1384" ht="12.75">
      <c r="I1384" s="577"/>
    </row>
    <row r="1385" ht="12.75">
      <c r="I1385" s="577"/>
    </row>
    <row r="1386" ht="12.75">
      <c r="I1386" s="577"/>
    </row>
    <row r="1387" ht="12.75">
      <c r="I1387" s="577"/>
    </row>
    <row r="1388" ht="12.75">
      <c r="I1388" s="577"/>
    </row>
    <row r="1389" ht="12.75">
      <c r="I1389" s="577"/>
    </row>
    <row r="1390" ht="12.75">
      <c r="I1390" s="577"/>
    </row>
    <row r="1391" ht="12.75">
      <c r="I1391" s="577"/>
    </row>
    <row r="1392" ht="12.75">
      <c r="I1392" s="577"/>
    </row>
    <row r="1393" ht="12.75">
      <c r="I1393" s="577"/>
    </row>
    <row r="1394" ht="12.75">
      <c r="I1394" s="577"/>
    </row>
    <row r="1395" ht="12.75">
      <c r="I1395" s="577"/>
    </row>
    <row r="1396" ht="12.75">
      <c r="I1396" s="577"/>
    </row>
    <row r="1397" ht="12.75">
      <c r="I1397" s="577"/>
    </row>
    <row r="1398" ht="12.75">
      <c r="I1398" s="577"/>
    </row>
    <row r="1399" ht="12.75">
      <c r="I1399" s="577"/>
    </row>
    <row r="1400" ht="12.75">
      <c r="I1400" s="577"/>
    </row>
    <row r="1401" ht="12.75">
      <c r="I1401" s="577"/>
    </row>
    <row r="1402" ht="12.75">
      <c r="I1402" s="577"/>
    </row>
    <row r="1403" ht="12.75">
      <c r="I1403" s="577"/>
    </row>
    <row r="1404" ht="12.75">
      <c r="I1404" s="577"/>
    </row>
    <row r="1405" ht="12.75">
      <c r="I1405" s="577"/>
    </row>
    <row r="1406" ht="12.75">
      <c r="I1406" s="577"/>
    </row>
    <row r="1407" ht="12.75">
      <c r="I1407" s="577"/>
    </row>
    <row r="1408" ht="12.75">
      <c r="I1408" s="577"/>
    </row>
    <row r="1409" ht="12.75">
      <c r="I1409" s="577"/>
    </row>
    <row r="1410" ht="12.75">
      <c r="I1410" s="577"/>
    </row>
    <row r="1411" ht="12.75">
      <c r="I1411" s="577"/>
    </row>
    <row r="1412" ht="12.75">
      <c r="I1412" s="577"/>
    </row>
    <row r="1413" ht="12.75">
      <c r="I1413" s="577"/>
    </row>
    <row r="1414" ht="12.75">
      <c r="I1414" s="577"/>
    </row>
    <row r="1415" ht="12.75">
      <c r="I1415" s="577"/>
    </row>
    <row r="1416" ht="12.75">
      <c r="I1416" s="577"/>
    </row>
    <row r="1417" ht="12.75">
      <c r="I1417" s="577"/>
    </row>
    <row r="1418" ht="12.75">
      <c r="I1418" s="577"/>
    </row>
    <row r="1419" ht="12.75">
      <c r="I1419" s="577"/>
    </row>
    <row r="1420" ht="12.75">
      <c r="I1420" s="577"/>
    </row>
    <row r="1421" ht="12.75">
      <c r="I1421" s="577"/>
    </row>
    <row r="1422" ht="12.75">
      <c r="I1422" s="577"/>
    </row>
    <row r="1423" ht="12.75">
      <c r="I1423" s="577"/>
    </row>
    <row r="1424" ht="12.75">
      <c r="I1424" s="577"/>
    </row>
    <row r="1425" ht="12.75">
      <c r="I1425" s="577"/>
    </row>
    <row r="1426" ht="12.75">
      <c r="I1426" s="577"/>
    </row>
    <row r="1427" ht="12.75">
      <c r="I1427" s="577"/>
    </row>
    <row r="1428" ht="12.75">
      <c r="I1428" s="577"/>
    </row>
    <row r="1429" ht="12.75">
      <c r="I1429" s="577"/>
    </row>
    <row r="1430" ht="12.75">
      <c r="I1430" s="577"/>
    </row>
    <row r="1431" ht="12.75">
      <c r="I1431" s="577"/>
    </row>
    <row r="1432" ht="12.75">
      <c r="I1432" s="577"/>
    </row>
    <row r="1433" ht="12.75">
      <c r="I1433" s="577"/>
    </row>
    <row r="1434" ht="12.75">
      <c r="I1434" s="577"/>
    </row>
    <row r="1435" ht="12.75">
      <c r="I1435" s="577"/>
    </row>
    <row r="1436" ht="12.75">
      <c r="I1436" s="577"/>
    </row>
    <row r="1437" ht="12.75">
      <c r="I1437" s="577"/>
    </row>
    <row r="1438" ht="12.75">
      <c r="I1438" s="577"/>
    </row>
    <row r="1439" ht="12.75">
      <c r="I1439" s="577"/>
    </row>
    <row r="1440" ht="12.75">
      <c r="I1440" s="577"/>
    </row>
    <row r="1441" ht="12.75">
      <c r="I1441" s="577"/>
    </row>
    <row r="1442" ht="12.75">
      <c r="I1442" s="577"/>
    </row>
    <row r="1443" ht="12.75">
      <c r="I1443" s="577"/>
    </row>
    <row r="1444" ht="12.75">
      <c r="I1444" s="577"/>
    </row>
    <row r="1445" ht="12.75">
      <c r="I1445" s="577"/>
    </row>
    <row r="1446" ht="12.75">
      <c r="I1446" s="577"/>
    </row>
    <row r="1447" ht="12.75">
      <c r="I1447" s="577"/>
    </row>
    <row r="1448" ht="12.75">
      <c r="I1448" s="577"/>
    </row>
    <row r="1449" ht="12.75">
      <c r="I1449" s="577"/>
    </row>
    <row r="1450" ht="12.75">
      <c r="I1450" s="577"/>
    </row>
    <row r="1451" ht="12.75">
      <c r="I1451" s="577"/>
    </row>
    <row r="1452" ht="12.75">
      <c r="I1452" s="577"/>
    </row>
    <row r="1453" ht="12.75">
      <c r="I1453" s="577"/>
    </row>
    <row r="1454" ht="12.75">
      <c r="I1454" s="577"/>
    </row>
    <row r="1455" ht="12.75">
      <c r="I1455" s="577"/>
    </row>
    <row r="1456" ht="12.75">
      <c r="I1456" s="577"/>
    </row>
    <row r="1457" ht="12.75">
      <c r="I1457" s="577"/>
    </row>
    <row r="1458" ht="12.75">
      <c r="I1458" s="577"/>
    </row>
    <row r="1459" ht="12.75">
      <c r="I1459" s="577"/>
    </row>
    <row r="1460" ht="12.75">
      <c r="I1460" s="577"/>
    </row>
    <row r="1461" ht="12.75">
      <c r="I1461" s="577"/>
    </row>
    <row r="1462" ht="12.75">
      <c r="I1462" s="577"/>
    </row>
    <row r="1463" ht="12.75">
      <c r="I1463" s="577"/>
    </row>
    <row r="1464" ht="12.75">
      <c r="I1464" s="577"/>
    </row>
    <row r="1465" ht="12.75">
      <c r="I1465" s="577"/>
    </row>
    <row r="1466" ht="12.75">
      <c r="I1466" s="577"/>
    </row>
    <row r="1467" ht="12.75">
      <c r="I1467" s="577"/>
    </row>
    <row r="1468" ht="12.75">
      <c r="I1468" s="577"/>
    </row>
    <row r="1469" ht="12.75">
      <c r="I1469" s="577"/>
    </row>
    <row r="1470" ht="12.75">
      <c r="I1470" s="577"/>
    </row>
    <row r="1471" ht="12.75">
      <c r="I1471" s="577"/>
    </row>
    <row r="1472" ht="12.75">
      <c r="I1472" s="577"/>
    </row>
    <row r="1473" ht="12.75">
      <c r="I1473" s="577"/>
    </row>
    <row r="1474" ht="12.75">
      <c r="I1474" s="577"/>
    </row>
    <row r="1475" ht="12.75">
      <c r="I1475" s="577"/>
    </row>
    <row r="1476" ht="12.75">
      <c r="I1476" s="577"/>
    </row>
    <row r="1477" ht="12.75">
      <c r="I1477" s="577"/>
    </row>
    <row r="1478" ht="12.75">
      <c r="I1478" s="577"/>
    </row>
    <row r="1479" ht="12.75">
      <c r="I1479" s="577"/>
    </row>
    <row r="1480" ht="12.75">
      <c r="I1480" s="577"/>
    </row>
    <row r="1481" ht="12.75">
      <c r="I1481" s="577"/>
    </row>
    <row r="1482" ht="12.75">
      <c r="I1482" s="577"/>
    </row>
    <row r="1483" ht="12.75">
      <c r="I1483" s="577"/>
    </row>
    <row r="1484" ht="12.75">
      <c r="I1484" s="577"/>
    </row>
    <row r="1485" ht="12.75">
      <c r="I1485" s="577"/>
    </row>
    <row r="1486" ht="12.75">
      <c r="I1486" s="577"/>
    </row>
    <row r="1487" ht="12.75">
      <c r="I1487" s="577"/>
    </row>
    <row r="1488" ht="12.75">
      <c r="I1488" s="577"/>
    </row>
    <row r="1489" ht="12.75">
      <c r="I1489" s="577"/>
    </row>
    <row r="1490" ht="12.75">
      <c r="I1490" s="577"/>
    </row>
    <row r="1491" ht="12.75">
      <c r="I1491" s="577"/>
    </row>
    <row r="1492" ht="12.75">
      <c r="I1492" s="577"/>
    </row>
    <row r="1493" ht="12.75">
      <c r="I1493" s="577"/>
    </row>
    <row r="1494" ht="12.75">
      <c r="I1494" s="577"/>
    </row>
    <row r="1495" ht="12.75">
      <c r="I1495" s="577"/>
    </row>
    <row r="1496" ht="12.75">
      <c r="I1496" s="577"/>
    </row>
    <row r="1497" ht="12.75">
      <c r="I1497" s="577"/>
    </row>
    <row r="1498" ht="12.75">
      <c r="I1498" s="577"/>
    </row>
    <row r="1499" ht="12.75">
      <c r="I1499" s="577"/>
    </row>
    <row r="1500" ht="12.75">
      <c r="I1500" s="577"/>
    </row>
    <row r="1501" ht="12.75">
      <c r="I1501" s="577"/>
    </row>
    <row r="1502" ht="12.75">
      <c r="I1502" s="577"/>
    </row>
    <row r="1503" ht="12.75">
      <c r="I1503" s="577"/>
    </row>
    <row r="1504" ht="12.75">
      <c r="I1504" s="577"/>
    </row>
    <row r="1505" ht="12.75">
      <c r="I1505" s="577"/>
    </row>
    <row r="1506" ht="12.75">
      <c r="I1506" s="577"/>
    </row>
    <row r="1507" ht="12.75">
      <c r="I1507" s="577"/>
    </row>
    <row r="1508" ht="12.75">
      <c r="I1508" s="577"/>
    </row>
    <row r="1509" ht="12.75">
      <c r="I1509" s="577"/>
    </row>
    <row r="1510" ht="12.75">
      <c r="I1510" s="577"/>
    </row>
    <row r="1511" ht="12.75">
      <c r="I1511" s="577"/>
    </row>
    <row r="1512" ht="12.75">
      <c r="I1512" s="577"/>
    </row>
    <row r="1513" ht="12.75">
      <c r="I1513" s="577"/>
    </row>
    <row r="1514" ht="12.75">
      <c r="I1514" s="577"/>
    </row>
    <row r="1515" ht="12.75">
      <c r="I1515" s="577"/>
    </row>
    <row r="1516" ht="12.75">
      <c r="I1516" s="577"/>
    </row>
    <row r="1517" ht="12.75">
      <c r="I1517" s="577"/>
    </row>
    <row r="1518" ht="12.75">
      <c r="I1518" s="577"/>
    </row>
    <row r="1519" ht="12.75">
      <c r="I1519" s="577"/>
    </row>
    <row r="1520" ht="12.75">
      <c r="I1520" s="577"/>
    </row>
    <row r="1521" ht="12.75">
      <c r="I1521" s="577"/>
    </row>
    <row r="1522" ht="12.75">
      <c r="I1522" s="577"/>
    </row>
    <row r="1523" ht="12.75">
      <c r="I1523" s="577"/>
    </row>
    <row r="1524" ht="12.75">
      <c r="I1524" s="577"/>
    </row>
    <row r="1525" ht="12.75">
      <c r="I1525" s="577"/>
    </row>
    <row r="1526" ht="12.75">
      <c r="I1526" s="577"/>
    </row>
    <row r="1527" ht="12.75">
      <c r="I1527" s="577"/>
    </row>
    <row r="1528" ht="12.75">
      <c r="I1528" s="577"/>
    </row>
    <row r="1529" ht="12.75">
      <c r="I1529" s="577"/>
    </row>
    <row r="1530" ht="12.75">
      <c r="I1530" s="577"/>
    </row>
    <row r="1531" ht="12.75">
      <c r="I1531" s="577"/>
    </row>
    <row r="1532" ht="12.75">
      <c r="I1532" s="577"/>
    </row>
    <row r="1533" ht="12.75">
      <c r="I1533" s="577"/>
    </row>
    <row r="1534" ht="12.75">
      <c r="I1534" s="577"/>
    </row>
    <row r="1535" ht="12.75">
      <c r="I1535" s="577"/>
    </row>
    <row r="1536" ht="12.75">
      <c r="I1536" s="577"/>
    </row>
    <row r="1537" ht="12.75">
      <c r="I1537" s="577"/>
    </row>
    <row r="1538" ht="12.75">
      <c r="I1538" s="577"/>
    </row>
    <row r="1539" ht="12.75">
      <c r="I1539" s="577"/>
    </row>
    <row r="1540" ht="12.75">
      <c r="I1540" s="577"/>
    </row>
    <row r="1541" ht="12.75">
      <c r="I1541" s="577"/>
    </row>
    <row r="1542" ht="12.75">
      <c r="I1542" s="577"/>
    </row>
    <row r="1543" ht="12.75">
      <c r="I1543" s="577"/>
    </row>
    <row r="1544" ht="12.75">
      <c r="I1544" s="577"/>
    </row>
    <row r="1545" ht="12.75">
      <c r="I1545" s="577"/>
    </row>
    <row r="1546" ht="12.75">
      <c r="I1546" s="577"/>
    </row>
    <row r="1547" ht="12.75">
      <c r="I1547" s="577"/>
    </row>
    <row r="1548" ht="12.75">
      <c r="I1548" s="577"/>
    </row>
    <row r="1549" ht="12.75">
      <c r="I1549" s="577"/>
    </row>
    <row r="1550" ht="12.75">
      <c r="I1550" s="577"/>
    </row>
    <row r="1551" ht="12.75">
      <c r="I1551" s="577"/>
    </row>
    <row r="1552" ht="12.75">
      <c r="I1552" s="577"/>
    </row>
    <row r="1553" ht="12.75">
      <c r="I1553" s="577"/>
    </row>
    <row r="1554" ht="12.75">
      <c r="I1554" s="577"/>
    </row>
    <row r="1555" ht="12.75">
      <c r="I1555" s="577"/>
    </row>
    <row r="1556" ht="12.75">
      <c r="I1556" s="577"/>
    </row>
    <row r="1557" ht="12.75">
      <c r="I1557" s="577"/>
    </row>
    <row r="1558" ht="12.75">
      <c r="I1558" s="577"/>
    </row>
    <row r="1559" ht="12.75">
      <c r="I1559" s="577"/>
    </row>
    <row r="1560" ht="12.75">
      <c r="I1560" s="577"/>
    </row>
    <row r="1561" ht="12.75">
      <c r="I1561" s="577"/>
    </row>
    <row r="1562" ht="12.75">
      <c r="I1562" s="577"/>
    </row>
    <row r="1563" ht="12.75">
      <c r="I1563" s="577"/>
    </row>
    <row r="1564" ht="12.75">
      <c r="I1564" s="577"/>
    </row>
    <row r="1565" ht="12.75">
      <c r="I1565" s="577"/>
    </row>
    <row r="1566" ht="12.75">
      <c r="I1566" s="577"/>
    </row>
    <row r="1567" ht="12.75">
      <c r="I1567" s="577"/>
    </row>
    <row r="1568" ht="12.75">
      <c r="I1568" s="577"/>
    </row>
    <row r="1569" ht="12.75">
      <c r="I1569" s="577"/>
    </row>
    <row r="1570" ht="12.75">
      <c r="I1570" s="577"/>
    </row>
    <row r="1571" ht="12.75">
      <c r="I1571" s="577"/>
    </row>
    <row r="1572" ht="12.75">
      <c r="I1572" s="577"/>
    </row>
    <row r="1573" ht="12.75">
      <c r="I1573" s="577"/>
    </row>
    <row r="1574" ht="12.75">
      <c r="I1574" s="577"/>
    </row>
    <row r="1575" ht="12.75">
      <c r="I1575" s="577"/>
    </row>
    <row r="1576" ht="12.75">
      <c r="I1576" s="577"/>
    </row>
    <row r="1577" ht="12.75">
      <c r="I1577" s="577"/>
    </row>
    <row r="1578" ht="12.75">
      <c r="I1578" s="577"/>
    </row>
    <row r="1579" ht="12.75">
      <c r="I1579" s="577"/>
    </row>
    <row r="1580" ht="12.75">
      <c r="I1580" s="577"/>
    </row>
    <row r="1581" ht="12.75">
      <c r="I1581" s="577"/>
    </row>
    <row r="1582" ht="12.75">
      <c r="I1582" s="577"/>
    </row>
    <row r="1583" ht="12.75">
      <c r="I1583" s="577"/>
    </row>
    <row r="1584" ht="12.75">
      <c r="I1584" s="577"/>
    </row>
    <row r="1585" ht="12.75">
      <c r="I1585" s="577"/>
    </row>
    <row r="1586" ht="12.75">
      <c r="I1586" s="577"/>
    </row>
    <row r="1587" ht="12.75">
      <c r="I1587" s="577"/>
    </row>
    <row r="1588" ht="12.75">
      <c r="I1588" s="577"/>
    </row>
    <row r="1589" ht="12.75">
      <c r="I1589" s="577"/>
    </row>
    <row r="1590" ht="12.75">
      <c r="I1590" s="577"/>
    </row>
    <row r="1591" ht="12.75">
      <c r="I1591" s="577"/>
    </row>
    <row r="1592" ht="12.75">
      <c r="I1592" s="577"/>
    </row>
    <row r="1593" ht="12.75">
      <c r="I1593" s="577"/>
    </row>
    <row r="1594" ht="12.75">
      <c r="I1594" s="577"/>
    </row>
    <row r="1595" ht="12.75">
      <c r="I1595" s="577"/>
    </row>
    <row r="1596" ht="12.75">
      <c r="I1596" s="577"/>
    </row>
    <row r="1597" ht="12.75">
      <c r="I1597" s="577"/>
    </row>
    <row r="1598" ht="12.75">
      <c r="I1598" s="577"/>
    </row>
    <row r="1599" ht="12.75">
      <c r="I1599" s="577"/>
    </row>
    <row r="1600" ht="12.75">
      <c r="I1600" s="577"/>
    </row>
    <row r="1601" ht="12.75">
      <c r="I1601" s="577"/>
    </row>
    <row r="1602" ht="12.75">
      <c r="I1602" s="577"/>
    </row>
    <row r="1603" ht="12.75">
      <c r="I1603" s="577"/>
    </row>
    <row r="1604" ht="12.75">
      <c r="I1604" s="577"/>
    </row>
    <row r="1605" ht="12.75">
      <c r="I1605" s="577"/>
    </row>
    <row r="1606" ht="12.75">
      <c r="I1606" s="577"/>
    </row>
    <row r="1607" ht="12.75">
      <c r="I1607" s="577"/>
    </row>
    <row r="1608" ht="12.75">
      <c r="I1608" s="577"/>
    </row>
    <row r="1609" ht="12.75">
      <c r="I1609" s="577"/>
    </row>
    <row r="1610" ht="12.75">
      <c r="I1610" s="577"/>
    </row>
    <row r="1611" ht="12.75">
      <c r="I1611" s="577"/>
    </row>
    <row r="1612" ht="12.75">
      <c r="I1612" s="577"/>
    </row>
    <row r="1613" ht="12.75">
      <c r="I1613" s="577"/>
    </row>
    <row r="1614" ht="12.75">
      <c r="I1614" s="577"/>
    </row>
    <row r="1615" ht="12.75">
      <c r="I1615" s="577"/>
    </row>
    <row r="1616" ht="12.75">
      <c r="I1616" s="577"/>
    </row>
    <row r="1617" ht="12.75">
      <c r="I1617" s="577"/>
    </row>
    <row r="1618" ht="12.75">
      <c r="I1618" s="577"/>
    </row>
    <row r="1619" ht="12.75">
      <c r="I1619" s="577"/>
    </row>
    <row r="1620" ht="12.75">
      <c r="I1620" s="577"/>
    </row>
    <row r="1621" ht="12.75">
      <c r="I1621" s="577"/>
    </row>
    <row r="1622" ht="12.75">
      <c r="I1622" s="577"/>
    </row>
    <row r="1623" ht="12.75">
      <c r="I1623" s="577"/>
    </row>
    <row r="1624" ht="12.75">
      <c r="I1624" s="577"/>
    </row>
    <row r="1625" ht="12.75">
      <c r="I1625" s="577"/>
    </row>
    <row r="1626" ht="12.75">
      <c r="I1626" s="577"/>
    </row>
    <row r="1627" ht="12.75">
      <c r="I1627" s="577"/>
    </row>
    <row r="1628" ht="12.75">
      <c r="I1628" s="577"/>
    </row>
    <row r="1629" ht="12.75">
      <c r="I1629" s="577"/>
    </row>
    <row r="1630" ht="12.75">
      <c r="I1630" s="577"/>
    </row>
    <row r="1631" ht="12.75">
      <c r="I1631" s="577"/>
    </row>
    <row r="1632" ht="12.75">
      <c r="I1632" s="577"/>
    </row>
    <row r="1633" ht="12.75">
      <c r="I1633" s="577"/>
    </row>
    <row r="1634" ht="12.75">
      <c r="I1634" s="577"/>
    </row>
    <row r="1635" ht="12.75">
      <c r="I1635" s="577"/>
    </row>
    <row r="1636" ht="12.75">
      <c r="I1636" s="577"/>
    </row>
    <row r="1637" ht="12.75">
      <c r="I1637" s="577"/>
    </row>
    <row r="1638" ht="12.75">
      <c r="I1638" s="577"/>
    </row>
    <row r="1639" ht="12.75">
      <c r="I1639" s="577"/>
    </row>
    <row r="1640" ht="12.75">
      <c r="I1640" s="577"/>
    </row>
    <row r="1641" ht="12.75">
      <c r="I1641" s="577"/>
    </row>
    <row r="1642" ht="12.75">
      <c r="I1642" s="577"/>
    </row>
    <row r="1643" ht="12.75">
      <c r="I1643" s="577"/>
    </row>
    <row r="1644" ht="12.75">
      <c r="I1644" s="577"/>
    </row>
    <row r="1645" ht="12.75">
      <c r="I1645" s="577"/>
    </row>
    <row r="1646" ht="12.75">
      <c r="I1646" s="577"/>
    </row>
    <row r="1647" ht="12.75">
      <c r="I1647" s="577"/>
    </row>
    <row r="1648" ht="12.75">
      <c r="I1648" s="577"/>
    </row>
    <row r="1649" ht="12.75">
      <c r="I1649" s="577"/>
    </row>
    <row r="1650" ht="12.75">
      <c r="I1650" s="577"/>
    </row>
    <row r="1651" ht="12.75">
      <c r="I1651" s="577"/>
    </row>
    <row r="1652" ht="12.75">
      <c r="I1652" s="577"/>
    </row>
    <row r="1653" ht="12.75">
      <c r="I1653" s="577"/>
    </row>
    <row r="1654" ht="12.75">
      <c r="I1654" s="577"/>
    </row>
    <row r="1655" ht="12.75">
      <c r="I1655" s="577"/>
    </row>
    <row r="1656" ht="12.75">
      <c r="I1656" s="577"/>
    </row>
    <row r="1657" ht="12.75">
      <c r="I1657" s="577"/>
    </row>
    <row r="1658" ht="12.75">
      <c r="I1658" s="577"/>
    </row>
    <row r="1659" ht="12.75">
      <c r="I1659" s="577"/>
    </row>
    <row r="1660" ht="12.75">
      <c r="I1660" s="577"/>
    </row>
    <row r="1661" ht="12.75">
      <c r="I1661" s="577"/>
    </row>
    <row r="1662" ht="12.75">
      <c r="I1662" s="577"/>
    </row>
    <row r="1663" ht="12.75">
      <c r="I1663" s="577"/>
    </row>
    <row r="1664" ht="12.75">
      <c r="I1664" s="577"/>
    </row>
    <row r="1665" ht="12.75">
      <c r="I1665" s="577"/>
    </row>
    <row r="1666" ht="12.75">
      <c r="I1666" s="577"/>
    </row>
    <row r="1667" ht="12.75">
      <c r="I1667" s="577"/>
    </row>
    <row r="1668" ht="12.75">
      <c r="I1668" s="577"/>
    </row>
    <row r="1669" ht="12.75">
      <c r="I1669" s="577"/>
    </row>
    <row r="1670" ht="12.75">
      <c r="I1670" s="577"/>
    </row>
    <row r="1671" ht="12.75">
      <c r="I1671" s="577"/>
    </row>
    <row r="1672" ht="12.75">
      <c r="I1672" s="577"/>
    </row>
    <row r="1673" ht="12.75">
      <c r="I1673" s="577"/>
    </row>
    <row r="1674" ht="12.75">
      <c r="I1674" s="577"/>
    </row>
    <row r="1675" ht="12.75">
      <c r="I1675" s="577"/>
    </row>
    <row r="1676" ht="12.75">
      <c r="I1676" s="577"/>
    </row>
    <row r="1677" ht="12.75">
      <c r="I1677" s="577"/>
    </row>
    <row r="1678" ht="12.75">
      <c r="I1678" s="577"/>
    </row>
    <row r="1679" ht="12.75">
      <c r="I1679" s="577"/>
    </row>
    <row r="1680" ht="12.75">
      <c r="I1680" s="577"/>
    </row>
    <row r="1681" ht="12.75">
      <c r="I1681" s="577"/>
    </row>
    <row r="1682" ht="12.75">
      <c r="I1682" s="577"/>
    </row>
    <row r="1683" ht="12.75">
      <c r="I1683" s="577"/>
    </row>
    <row r="1684" ht="12.75">
      <c r="I1684" s="577"/>
    </row>
    <row r="1685" ht="12.75">
      <c r="I1685" s="577"/>
    </row>
    <row r="1686" ht="12.75">
      <c r="I1686" s="577"/>
    </row>
    <row r="1687" ht="12.75">
      <c r="I1687" s="577"/>
    </row>
    <row r="1688" ht="12.75">
      <c r="I1688" s="577"/>
    </row>
    <row r="1689" ht="12.75">
      <c r="I1689" s="577"/>
    </row>
    <row r="1690" ht="12.75">
      <c r="I1690" s="577"/>
    </row>
    <row r="1691" ht="12.75">
      <c r="I1691" s="577"/>
    </row>
    <row r="1692" ht="12.75">
      <c r="I1692" s="577"/>
    </row>
    <row r="1693" ht="12.75">
      <c r="I1693" s="577"/>
    </row>
    <row r="1694" ht="12.75">
      <c r="I1694" s="577"/>
    </row>
    <row r="1695" ht="12.75">
      <c r="I1695" s="577"/>
    </row>
    <row r="1696" ht="12.75">
      <c r="I1696" s="577"/>
    </row>
    <row r="1697" ht="12.75">
      <c r="I1697" s="577"/>
    </row>
    <row r="1698" ht="12.75">
      <c r="I1698" s="577"/>
    </row>
    <row r="1699" ht="12.75">
      <c r="I1699" s="577"/>
    </row>
    <row r="1700" ht="12.75">
      <c r="I1700" s="577"/>
    </row>
    <row r="1701" ht="12.75">
      <c r="I1701" s="577"/>
    </row>
    <row r="1702" ht="12.75">
      <c r="I1702" s="577"/>
    </row>
    <row r="1703" ht="12.75">
      <c r="I1703" s="577"/>
    </row>
    <row r="1704" ht="12.75">
      <c r="I1704" s="577"/>
    </row>
    <row r="1705" ht="12.75">
      <c r="I1705" s="577"/>
    </row>
    <row r="1706" ht="12.75">
      <c r="I1706" s="577"/>
    </row>
    <row r="1707" ht="12.75">
      <c r="I1707" s="577"/>
    </row>
    <row r="1708" ht="12.75">
      <c r="I1708" s="577"/>
    </row>
    <row r="1709" ht="12.75">
      <c r="I1709" s="577"/>
    </row>
    <row r="1710" ht="12.75">
      <c r="I1710" s="577"/>
    </row>
    <row r="1711" ht="12.75">
      <c r="I1711" s="577"/>
    </row>
    <row r="1712" ht="12.75">
      <c r="I1712" s="577"/>
    </row>
    <row r="1713" ht="12.75">
      <c r="I1713" s="577"/>
    </row>
    <row r="1714" ht="12.75">
      <c r="I1714" s="577"/>
    </row>
    <row r="1715" ht="12.75">
      <c r="I1715" s="577"/>
    </row>
    <row r="1716" ht="12.75">
      <c r="I1716" s="577"/>
    </row>
    <row r="1717" ht="12.75">
      <c r="I1717" s="577"/>
    </row>
    <row r="1718" ht="12.75">
      <c r="I1718" s="577"/>
    </row>
    <row r="1719" ht="12.75">
      <c r="I1719" s="577"/>
    </row>
    <row r="1720" ht="12.75">
      <c r="I1720" s="577"/>
    </row>
    <row r="1721" ht="12.75">
      <c r="I1721" s="577"/>
    </row>
    <row r="1722" ht="12.75">
      <c r="I1722" s="577"/>
    </row>
    <row r="1723" ht="12.75">
      <c r="I1723" s="577"/>
    </row>
    <row r="1724" ht="12.75">
      <c r="I1724" s="577"/>
    </row>
    <row r="1725" ht="12.75">
      <c r="I1725" s="577"/>
    </row>
    <row r="1726" ht="12.75">
      <c r="I1726" s="577"/>
    </row>
    <row r="1727" ht="12.75">
      <c r="I1727" s="577"/>
    </row>
    <row r="1728" ht="12.75">
      <c r="I1728" s="577"/>
    </row>
    <row r="1729" ht="12.75">
      <c r="I1729" s="577"/>
    </row>
    <row r="1730" ht="12.75">
      <c r="I1730" s="577"/>
    </row>
    <row r="1731" ht="12.75">
      <c r="I1731" s="577"/>
    </row>
    <row r="1732" ht="12.75">
      <c r="I1732" s="577"/>
    </row>
    <row r="1733" ht="12.75">
      <c r="I1733" s="577"/>
    </row>
    <row r="1734" ht="12.75">
      <c r="I1734" s="577"/>
    </row>
    <row r="1735" ht="12.75">
      <c r="I1735" s="577"/>
    </row>
    <row r="1736" ht="12.75">
      <c r="I1736" s="577"/>
    </row>
    <row r="1737" ht="12.75">
      <c r="I1737" s="577"/>
    </row>
    <row r="1738" ht="12.75">
      <c r="I1738" s="577"/>
    </row>
    <row r="1739" ht="12.75">
      <c r="I1739" s="577"/>
    </row>
    <row r="1740" ht="12.75">
      <c r="I1740" s="577"/>
    </row>
    <row r="1741" ht="12.75">
      <c r="I1741" s="577"/>
    </row>
    <row r="1742" ht="12.75">
      <c r="I1742" s="577"/>
    </row>
    <row r="1743" ht="12.75">
      <c r="I1743" s="577"/>
    </row>
    <row r="1744" ht="12.75">
      <c r="I1744" s="577"/>
    </row>
    <row r="1745" ht="12.75">
      <c r="I1745" s="577"/>
    </row>
    <row r="1746" ht="12.75">
      <c r="I1746" s="577"/>
    </row>
    <row r="1747" ht="12.75">
      <c r="I1747" s="577"/>
    </row>
    <row r="1748" ht="12.75">
      <c r="I1748" s="577"/>
    </row>
    <row r="1749" ht="12.75">
      <c r="I1749" s="577"/>
    </row>
    <row r="1750" ht="12.75">
      <c r="I1750" s="577"/>
    </row>
    <row r="1751" ht="12.75">
      <c r="I1751" s="577"/>
    </row>
    <row r="1752" ht="12.75">
      <c r="I1752" s="577"/>
    </row>
    <row r="1753" ht="12.75">
      <c r="I1753" s="577"/>
    </row>
    <row r="1754" ht="12.75">
      <c r="I1754" s="577"/>
    </row>
    <row r="1755" ht="12.75">
      <c r="I1755" s="577"/>
    </row>
    <row r="1756" ht="12.75">
      <c r="I1756" s="577"/>
    </row>
    <row r="1757" ht="12.75">
      <c r="I1757" s="577"/>
    </row>
    <row r="1758" ht="12.75">
      <c r="I1758" s="577"/>
    </row>
    <row r="1759" ht="12.75">
      <c r="I1759" s="577"/>
    </row>
    <row r="1760" ht="12.75">
      <c r="I1760" s="577"/>
    </row>
    <row r="1761" ht="12.75">
      <c r="I1761" s="577"/>
    </row>
    <row r="1762" ht="12.75">
      <c r="I1762" s="577"/>
    </row>
    <row r="1763" ht="12.75">
      <c r="I1763" s="577"/>
    </row>
    <row r="1764" ht="12.75">
      <c r="I1764" s="577"/>
    </row>
    <row r="1765" ht="12.75">
      <c r="I1765" s="577"/>
    </row>
    <row r="1766" ht="12.75">
      <c r="I1766" s="577"/>
    </row>
    <row r="1767" ht="12.75">
      <c r="I1767" s="577"/>
    </row>
    <row r="1768" ht="12.75">
      <c r="I1768" s="577"/>
    </row>
    <row r="1769" ht="12.75">
      <c r="I1769" s="577"/>
    </row>
    <row r="1770" ht="12.75">
      <c r="I1770" s="577"/>
    </row>
    <row r="1771" ht="12.75">
      <c r="I1771" s="577"/>
    </row>
    <row r="1772" ht="12.75">
      <c r="I1772" s="577"/>
    </row>
    <row r="1773" ht="12.75">
      <c r="I1773" s="577"/>
    </row>
    <row r="1774" ht="12.75">
      <c r="I1774" s="577"/>
    </row>
    <row r="1775" ht="12.75">
      <c r="I1775" s="577"/>
    </row>
    <row r="1776" ht="12.75">
      <c r="I1776" s="577"/>
    </row>
    <row r="1777" ht="12.75">
      <c r="I1777" s="577"/>
    </row>
    <row r="1778" ht="12.75">
      <c r="I1778" s="577"/>
    </row>
    <row r="1779" ht="12.75">
      <c r="I1779" s="577"/>
    </row>
    <row r="1780" ht="12.75">
      <c r="I1780" s="577"/>
    </row>
    <row r="1781" ht="12.75">
      <c r="I1781" s="577"/>
    </row>
    <row r="1782" ht="12.75">
      <c r="I1782" s="577"/>
    </row>
    <row r="1783" ht="12.75">
      <c r="I1783" s="577"/>
    </row>
    <row r="1784" ht="12.75">
      <c r="I1784" s="577"/>
    </row>
    <row r="1785" ht="12.75">
      <c r="I1785" s="577"/>
    </row>
    <row r="1786" ht="12.75">
      <c r="I1786" s="577"/>
    </row>
    <row r="1787" ht="12.75">
      <c r="I1787" s="577"/>
    </row>
    <row r="1788" ht="12.75">
      <c r="I1788" s="577"/>
    </row>
    <row r="1789" ht="12.75">
      <c r="I1789" s="577"/>
    </row>
    <row r="1790" ht="12.75">
      <c r="I1790" s="577"/>
    </row>
    <row r="1791" ht="12.75">
      <c r="I1791" s="577"/>
    </row>
    <row r="1792" ht="12.75">
      <c r="I1792" s="577"/>
    </row>
    <row r="1793" ht="12.75">
      <c r="I1793" s="577"/>
    </row>
    <row r="1794" ht="12.75">
      <c r="I1794" s="577"/>
    </row>
    <row r="1795" ht="12.75">
      <c r="I1795" s="577"/>
    </row>
    <row r="1796" ht="12.75">
      <c r="I1796" s="577"/>
    </row>
    <row r="1797" ht="12.75">
      <c r="I1797" s="577"/>
    </row>
    <row r="1798" ht="12.75">
      <c r="I1798" s="577"/>
    </row>
    <row r="1799" ht="12.75">
      <c r="I1799" s="577"/>
    </row>
    <row r="1800" ht="12.75">
      <c r="I1800" s="577"/>
    </row>
    <row r="1801" ht="12.75">
      <c r="I1801" s="577"/>
    </row>
    <row r="1802" ht="12.75">
      <c r="I1802" s="577"/>
    </row>
    <row r="1803" ht="12.75">
      <c r="I1803" s="577"/>
    </row>
    <row r="1804" ht="12.75">
      <c r="I1804" s="577"/>
    </row>
    <row r="1805" ht="12.75">
      <c r="I1805" s="577"/>
    </row>
    <row r="1806" ht="12.75">
      <c r="I1806" s="577"/>
    </row>
    <row r="1807" ht="12.75">
      <c r="I1807" s="577"/>
    </row>
    <row r="1808" ht="12.75">
      <c r="I1808" s="577"/>
    </row>
    <row r="1809" ht="12.75">
      <c r="I1809" s="577"/>
    </row>
    <row r="1810" ht="12.75">
      <c r="I1810" s="577"/>
    </row>
    <row r="1811" ht="12.75">
      <c r="I1811" s="577"/>
    </row>
    <row r="1812" ht="12.75">
      <c r="I1812" s="577"/>
    </row>
    <row r="1813" ht="12.75">
      <c r="I1813" s="577"/>
    </row>
    <row r="1814" ht="12.75">
      <c r="I1814" s="577"/>
    </row>
    <row r="1815" ht="12.75">
      <c r="I1815" s="577"/>
    </row>
    <row r="1816" ht="12.75">
      <c r="I1816" s="577"/>
    </row>
    <row r="1817" ht="12.75">
      <c r="I1817" s="577"/>
    </row>
    <row r="1818" ht="12.75">
      <c r="I1818" s="577"/>
    </row>
    <row r="1819" ht="12.75">
      <c r="I1819" s="577"/>
    </row>
    <row r="1820" ht="12.75">
      <c r="I1820" s="577"/>
    </row>
    <row r="1821" ht="12.75">
      <c r="I1821" s="577"/>
    </row>
    <row r="1822" ht="12.75">
      <c r="I1822" s="577"/>
    </row>
    <row r="1823" ht="12.75">
      <c r="I1823" s="577"/>
    </row>
    <row r="1824" ht="12.75">
      <c r="I1824" s="577"/>
    </row>
    <row r="1825" ht="12.75">
      <c r="I1825" s="577"/>
    </row>
    <row r="1826" ht="12.75">
      <c r="I1826" s="577"/>
    </row>
    <row r="1827" ht="12.75">
      <c r="I1827" s="577"/>
    </row>
    <row r="1828" ht="12.75">
      <c r="I1828" s="577"/>
    </row>
    <row r="1829" ht="12.75">
      <c r="I1829" s="577"/>
    </row>
    <row r="1830" ht="12.75">
      <c r="I1830" s="577"/>
    </row>
    <row r="1831" ht="12.75">
      <c r="I1831" s="577"/>
    </row>
    <row r="1832" ht="12.75">
      <c r="I1832" s="577"/>
    </row>
    <row r="1833" ht="12.75">
      <c r="I1833" s="577"/>
    </row>
    <row r="1834" ht="12.75">
      <c r="I1834" s="577"/>
    </row>
    <row r="1835" ht="12.75">
      <c r="I1835" s="577"/>
    </row>
    <row r="1836" ht="12.75">
      <c r="I1836" s="577"/>
    </row>
    <row r="1837" ht="12.75">
      <c r="I1837" s="577"/>
    </row>
    <row r="1838" ht="12.75">
      <c r="I1838" s="577"/>
    </row>
    <row r="1839" ht="12.75">
      <c r="I1839" s="577"/>
    </row>
    <row r="1840" ht="12.75">
      <c r="I1840" s="577"/>
    </row>
    <row r="1841" ht="12.75">
      <c r="I1841" s="577"/>
    </row>
    <row r="1842" ht="12.75">
      <c r="I1842" s="577"/>
    </row>
    <row r="1843" ht="12.75">
      <c r="I1843" s="577"/>
    </row>
    <row r="1844" ht="12.75">
      <c r="I1844" s="577"/>
    </row>
    <row r="1845" ht="12.75">
      <c r="I1845" s="577"/>
    </row>
    <row r="1846" ht="12.75">
      <c r="I1846" s="577"/>
    </row>
    <row r="1847" ht="12.75">
      <c r="I1847" s="577"/>
    </row>
    <row r="1848" ht="12.75">
      <c r="I1848" s="577"/>
    </row>
    <row r="1849" ht="12.75">
      <c r="I1849" s="577"/>
    </row>
    <row r="1850" ht="12.75">
      <c r="I1850" s="577"/>
    </row>
    <row r="1851" ht="12.75">
      <c r="I1851" s="577"/>
    </row>
    <row r="1852" ht="12.75">
      <c r="I1852" s="577"/>
    </row>
    <row r="1853" ht="12.75">
      <c r="I1853" s="577"/>
    </row>
    <row r="1854" ht="12.75">
      <c r="I1854" s="577"/>
    </row>
    <row r="1855" ht="12.75">
      <c r="I1855" s="577"/>
    </row>
    <row r="1856" ht="12.75">
      <c r="I1856" s="577"/>
    </row>
    <row r="1857" ht="12.75">
      <c r="I1857" s="577"/>
    </row>
    <row r="1858" ht="12.75">
      <c r="I1858" s="577"/>
    </row>
  </sheetData>
  <sheetProtection sheet="1" objects="1" scenarios="1" formatCells="0" formatColumns="0" formatRows="0"/>
  <mergeCells count="184">
    <mergeCell ref="D67:N67"/>
    <mergeCell ref="D73:N73"/>
    <mergeCell ref="D118:N118"/>
    <mergeCell ref="D119:N119"/>
    <mergeCell ref="Y2:Z2"/>
    <mergeCell ref="S3:T3"/>
    <mergeCell ref="U3:V3"/>
    <mergeCell ref="W3:X3"/>
    <mergeCell ref="Y3:Z3"/>
    <mergeCell ref="S4:T4"/>
    <mergeCell ref="U4:V4"/>
    <mergeCell ref="W4:X4"/>
    <mergeCell ref="Y4:Z4"/>
    <mergeCell ref="S2:T2"/>
    <mergeCell ref="E63:H63"/>
    <mergeCell ref="I63:K63"/>
    <mergeCell ref="L63:N63"/>
    <mergeCell ref="U2:V2"/>
    <mergeCell ref="W2:X2"/>
    <mergeCell ref="E31:N31"/>
    <mergeCell ref="E61:H61"/>
    <mergeCell ref="I61:K61"/>
    <mergeCell ref="L61:N61"/>
    <mergeCell ref="E62:H62"/>
    <mergeCell ref="I62:K62"/>
    <mergeCell ref="L62:N62"/>
    <mergeCell ref="E59:H59"/>
    <mergeCell ref="I59:K59"/>
    <mergeCell ref="L59:N59"/>
    <mergeCell ref="E60:H60"/>
    <mergeCell ref="I60:K60"/>
    <mergeCell ref="L60:N60"/>
    <mergeCell ref="E57:H57"/>
    <mergeCell ref="I57:K57"/>
    <mergeCell ref="L57:N57"/>
    <mergeCell ref="E58:H58"/>
    <mergeCell ref="I58:K58"/>
    <mergeCell ref="L58:N58"/>
    <mergeCell ref="E55:H55"/>
    <mergeCell ref="I55:K55"/>
    <mergeCell ref="L55:N55"/>
    <mergeCell ref="E56:H56"/>
    <mergeCell ref="I56:K56"/>
    <mergeCell ref="L56:N56"/>
    <mergeCell ref="E53:H53"/>
    <mergeCell ref="I53:K53"/>
    <mergeCell ref="L53:N53"/>
    <mergeCell ref="E54:H54"/>
    <mergeCell ref="I54:K54"/>
    <mergeCell ref="L54:N54"/>
    <mergeCell ref="F46:N46"/>
    <mergeCell ref="F47:N47"/>
    <mergeCell ref="F48:N48"/>
    <mergeCell ref="F49:N49"/>
    <mergeCell ref="F50:N50"/>
    <mergeCell ref="D52:N52"/>
    <mergeCell ref="D22:N22"/>
    <mergeCell ref="E23:I23"/>
    <mergeCell ref="J23:N23"/>
    <mergeCell ref="E24:I24"/>
    <mergeCell ref="J24:N24"/>
    <mergeCell ref="E30:N30"/>
    <mergeCell ref="J16:N16"/>
    <mergeCell ref="D18:N18"/>
    <mergeCell ref="E19:I19"/>
    <mergeCell ref="J19:N19"/>
    <mergeCell ref="E20:I20"/>
    <mergeCell ref="J20:N20"/>
    <mergeCell ref="E11:I11"/>
    <mergeCell ref="J11:N11"/>
    <mergeCell ref="J12:N12"/>
    <mergeCell ref="E12:I12"/>
    <mergeCell ref="D10:N10"/>
    <mergeCell ref="H37:L37"/>
    <mergeCell ref="D14:N14"/>
    <mergeCell ref="E15:I15"/>
    <mergeCell ref="J15:N15"/>
    <mergeCell ref="E16:I16"/>
    <mergeCell ref="M2:N2"/>
    <mergeCell ref="E3:F3"/>
    <mergeCell ref="G3:H3"/>
    <mergeCell ref="I3:J3"/>
    <mergeCell ref="K3:L3"/>
    <mergeCell ref="M3:N3"/>
    <mergeCell ref="E4:F4"/>
    <mergeCell ref="G4:H4"/>
    <mergeCell ref="I4:J4"/>
    <mergeCell ref="K4:L4"/>
    <mergeCell ref="M4:N4"/>
    <mergeCell ref="D6:N6"/>
    <mergeCell ref="B2:D4"/>
    <mergeCell ref="G2:H2"/>
    <mergeCell ref="I2:J2"/>
    <mergeCell ref="K2:L2"/>
    <mergeCell ref="D112:G112"/>
    <mergeCell ref="D113:G113"/>
    <mergeCell ref="D114:G114"/>
    <mergeCell ref="D104:G104"/>
    <mergeCell ref="D105:G105"/>
    <mergeCell ref="D106:G106"/>
    <mergeCell ref="D107:G107"/>
    <mergeCell ref="D108:G108"/>
    <mergeCell ref="D100:G100"/>
    <mergeCell ref="D101:G101"/>
    <mergeCell ref="D102:G102"/>
    <mergeCell ref="D103:G103"/>
    <mergeCell ref="D110:G110"/>
    <mergeCell ref="D111:G111"/>
    <mergeCell ref="D33:N33"/>
    <mergeCell ref="H35:I35"/>
    <mergeCell ref="D75:F75"/>
    <mergeCell ref="D76:F76"/>
    <mergeCell ref="D65:N65"/>
    <mergeCell ref="D90:F90"/>
    <mergeCell ref="M35:N35"/>
    <mergeCell ref="H36:L36"/>
    <mergeCell ref="M39:N39"/>
    <mergeCell ref="M42:N42"/>
    <mergeCell ref="D77:F77"/>
    <mergeCell ref="D78:F78"/>
    <mergeCell ref="D79:F79"/>
    <mergeCell ref="D96:N96"/>
    <mergeCell ref="D80:F80"/>
    <mergeCell ref="D81:F81"/>
    <mergeCell ref="D82:F82"/>
    <mergeCell ref="D93:F93"/>
    <mergeCell ref="D94:F94"/>
    <mergeCell ref="D88:F88"/>
    <mergeCell ref="D86:F86"/>
    <mergeCell ref="D87:F87"/>
    <mergeCell ref="D89:F89"/>
    <mergeCell ref="D83:F83"/>
    <mergeCell ref="D84:F84"/>
    <mergeCell ref="D85:F85"/>
    <mergeCell ref="D121:F121"/>
    <mergeCell ref="D122:F122"/>
    <mergeCell ref="D123:F123"/>
    <mergeCell ref="D124:F124"/>
    <mergeCell ref="D125:F125"/>
    <mergeCell ref="D91:F91"/>
    <mergeCell ref="D92:F92"/>
    <mergeCell ref="D109:G109"/>
    <mergeCell ref="D98:G98"/>
    <mergeCell ref="D99:G99"/>
    <mergeCell ref="D126:F126"/>
    <mergeCell ref="D127:F127"/>
    <mergeCell ref="D128:F128"/>
    <mergeCell ref="D129:F129"/>
    <mergeCell ref="D130:F130"/>
    <mergeCell ref="D131:F131"/>
    <mergeCell ref="D132:F132"/>
    <mergeCell ref="D133:F133"/>
    <mergeCell ref="D134:F134"/>
    <mergeCell ref="D135:F135"/>
    <mergeCell ref="D136:F136"/>
    <mergeCell ref="D137:F137"/>
    <mergeCell ref="D138:F138"/>
    <mergeCell ref="D139:F139"/>
    <mergeCell ref="D140:F140"/>
    <mergeCell ref="D142:N142"/>
    <mergeCell ref="D144:G144"/>
    <mergeCell ref="D145:G145"/>
    <mergeCell ref="D146:G146"/>
    <mergeCell ref="D147:G147"/>
    <mergeCell ref="D148:G148"/>
    <mergeCell ref="D149:G149"/>
    <mergeCell ref="D150:G150"/>
    <mergeCell ref="D151:G151"/>
    <mergeCell ref="D152:G152"/>
    <mergeCell ref="D153:G153"/>
    <mergeCell ref="D154:G154"/>
    <mergeCell ref="D155:G155"/>
    <mergeCell ref="D156:G156"/>
    <mergeCell ref="D157:G157"/>
    <mergeCell ref="D68:N68"/>
    <mergeCell ref="D69:N69"/>
    <mergeCell ref="D70:N70"/>
    <mergeCell ref="D158:G158"/>
    <mergeCell ref="D159:G159"/>
    <mergeCell ref="D160:G160"/>
    <mergeCell ref="L72:N72"/>
    <mergeCell ref="D72:K72"/>
    <mergeCell ref="D117:K117"/>
    <mergeCell ref="L117:N117"/>
  </mergeCells>
  <conditionalFormatting sqref="E31">
    <cfRule type="cellIs" priority="3" dxfId="10" operator="equal" stopIfTrue="1">
      <formula>EUconst_ERR_Mandatory_g</formula>
    </cfRule>
  </conditionalFormatting>
  <conditionalFormatting sqref="E30">
    <cfRule type="cellIs" priority="1" dxfId="10" operator="equal" stopIfTrue="1">
      <formula>EUconst_ERR_Mandatory_ef</formula>
    </cfRule>
  </conditionalFormatting>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9"/>
    <pageSetUpPr fitToPage="1"/>
  </sheetPr>
  <dimension ref="A1:N30"/>
  <sheetViews>
    <sheetView zoomScalePageLayoutView="0" workbookViewId="0" topLeftCell="A1">
      <pane ySplit="3" topLeftCell="A4" activePane="bottomLeft" state="frozen"/>
      <selection pane="topLeft" activeCell="F43" sqref="F43"/>
      <selection pane="bottomLeft" activeCell="B5" sqref="B5"/>
    </sheetView>
  </sheetViews>
  <sheetFormatPr defaultColWidth="9.140625" defaultRowHeight="12.75"/>
  <cols>
    <col min="1" max="1" width="2.7109375" style="18" customWidth="1"/>
    <col min="2" max="3" width="4.7109375" style="18" customWidth="1"/>
    <col min="4" max="13" width="12.7109375" style="18" customWidth="1"/>
    <col min="14" max="14" width="4.7109375" style="18" customWidth="1"/>
    <col min="15" max="16384" width="9.140625" style="18" customWidth="1"/>
  </cols>
  <sheetData>
    <row r="1" spans="1:13" ht="13.5" thickBot="1">
      <c r="A1" s="823" t="str">
        <f>Translations!$B$926</f>
        <v>I. 
Requisiti specifici degli Stati membri</v>
      </c>
      <c r="B1" s="824"/>
      <c r="C1" s="825"/>
      <c r="D1" s="201" t="str">
        <f>Translations!$B$276</f>
        <v>Area di navigazione:</v>
      </c>
      <c r="E1" s="200"/>
      <c r="F1" s="779" t="str">
        <f>Translations!$B$290</f>
        <v>Indice</v>
      </c>
      <c r="G1" s="683"/>
      <c r="H1" s="683"/>
      <c r="I1" s="683"/>
      <c r="J1" s="683" t="str">
        <f>Translations!$B$277</f>
        <v>Foglio successivo</v>
      </c>
      <c r="K1" s="683"/>
      <c r="L1" s="683"/>
      <c r="M1" s="684"/>
    </row>
    <row r="2" spans="1:13" ht="13.5" thickBot="1">
      <c r="A2" s="826"/>
      <c r="B2" s="827"/>
      <c r="C2" s="828"/>
      <c r="D2" s="683" t="str">
        <f>Translations!$B$279</f>
        <v>Inizio foglio</v>
      </c>
      <c r="E2" s="745"/>
      <c r="F2" s="689"/>
      <c r="G2" s="689"/>
      <c r="H2" s="689"/>
      <c r="I2" s="689"/>
      <c r="J2" s="689"/>
      <c r="K2" s="689"/>
      <c r="L2" s="689"/>
      <c r="M2" s="689"/>
    </row>
    <row r="3" spans="1:13" ht="13.5" thickBot="1">
      <c r="A3" s="829"/>
      <c r="B3" s="830"/>
      <c r="C3" s="831"/>
      <c r="D3" s="683" t="str">
        <f>Translations!$B$280</f>
        <v>Fine foglio</v>
      </c>
      <c r="E3" s="683"/>
      <c r="F3" s="689"/>
      <c r="G3" s="689"/>
      <c r="H3" s="689"/>
      <c r="I3" s="689"/>
      <c r="J3" s="689"/>
      <c r="K3" s="689"/>
      <c r="L3" s="689"/>
      <c r="M3" s="689"/>
    </row>
    <row r="4" spans="1:14" ht="12.75">
      <c r="A4" s="5"/>
      <c r="B4" s="6"/>
      <c r="C4" s="7"/>
      <c r="D4" s="7"/>
      <c r="E4" s="8"/>
      <c r="F4" s="8"/>
      <c r="G4" s="8"/>
      <c r="H4" s="5"/>
      <c r="I4" s="5"/>
      <c r="J4" s="5"/>
      <c r="K4" s="5"/>
      <c r="L4" s="9"/>
      <c r="M4" s="9"/>
      <c r="N4" s="9"/>
    </row>
    <row r="5" spans="1:14" ht="23.25" customHeight="1">
      <c r="A5" s="5"/>
      <c r="B5" s="11" t="s">
        <v>351</v>
      </c>
      <c r="C5" s="11" t="str">
        <f>Translations!$B$927</f>
        <v>Foglio "MSspecific" - REQUISITI AGGIUNTIVI SUI DATI DEGLI STATI MEMBRI</v>
      </c>
      <c r="D5" s="11"/>
      <c r="E5" s="11"/>
      <c r="F5" s="11"/>
      <c r="G5" s="11"/>
      <c r="H5" s="11"/>
      <c r="I5" s="11"/>
      <c r="J5" s="11"/>
      <c r="K5" s="11"/>
      <c r="L5" s="9"/>
      <c r="M5" s="9"/>
      <c r="N5" s="9"/>
    </row>
    <row r="6" spans="1:14" ht="12.75">
      <c r="A6" s="5"/>
      <c r="B6" s="5"/>
      <c r="C6" s="5"/>
      <c r="D6" s="5"/>
      <c r="E6" s="5"/>
      <c r="F6" s="5"/>
      <c r="G6" s="5"/>
      <c r="H6" s="5"/>
      <c r="I6" s="5"/>
      <c r="J6" s="5"/>
      <c r="K6" s="5"/>
      <c r="L6" s="9"/>
      <c r="M6" s="9"/>
      <c r="N6" s="9"/>
    </row>
    <row r="7" spans="1:14" ht="15.75">
      <c r="A7" s="5"/>
      <c r="B7" s="12" t="s">
        <v>41</v>
      </c>
      <c r="C7" s="13" t="str">
        <f>Translations!$B$928</f>
        <v>Devono essere definiti dagli Stati membri</v>
      </c>
      <c r="D7" s="13"/>
      <c r="E7" s="13"/>
      <c r="F7" s="13"/>
      <c r="G7" s="13"/>
      <c r="H7" s="13"/>
      <c r="I7" s="13"/>
      <c r="J7" s="13"/>
      <c r="K7" s="13"/>
      <c r="L7" s="13"/>
      <c r="M7" s="13"/>
      <c r="N7" s="9"/>
    </row>
    <row r="8" spans="1:14" ht="4.5" customHeight="1">
      <c r="A8" s="5"/>
      <c r="B8" s="5"/>
      <c r="C8" s="5"/>
      <c r="D8" s="5"/>
      <c r="E8" s="5"/>
      <c r="F8" s="5"/>
      <c r="G8" s="5"/>
      <c r="H8" s="5"/>
      <c r="I8" s="5"/>
      <c r="J8" s="5"/>
      <c r="K8" s="5"/>
      <c r="L8" s="9"/>
      <c r="M8" s="9"/>
      <c r="N8" s="9"/>
    </row>
    <row r="30" spans="3:13" ht="12.75">
      <c r="C30" s="1059" t="str">
        <f>Translations!$B$336</f>
        <v>&lt;&lt;&lt; Cliccare qui per passare al foglio successivo &gt;&gt;&gt; </v>
      </c>
      <c r="D30" s="1060"/>
      <c r="E30" s="1060"/>
      <c r="F30" s="1060"/>
      <c r="G30" s="1060"/>
      <c r="H30" s="1059"/>
      <c r="I30" s="1059"/>
      <c r="J30" s="1059"/>
      <c r="K30" s="1059"/>
      <c r="L30" s="1059"/>
      <c r="M30" s="1059"/>
    </row>
  </sheetData>
  <sheetProtection sheet="1" objects="1" scenarios="1" formatCells="0" formatColumns="0" formatRows="0"/>
  <mergeCells count="16">
    <mergeCell ref="A1:C3"/>
    <mergeCell ref="F1:G1"/>
    <mergeCell ref="H1:I1"/>
    <mergeCell ref="D3:E3"/>
    <mergeCell ref="F3:G3"/>
    <mergeCell ref="H3:I3"/>
    <mergeCell ref="J3:K3"/>
    <mergeCell ref="L3:M3"/>
    <mergeCell ref="C30:M30"/>
    <mergeCell ref="J1:K1"/>
    <mergeCell ref="L1:M1"/>
    <mergeCell ref="D2:E2"/>
    <mergeCell ref="F2:G2"/>
    <mergeCell ref="H2:I2"/>
    <mergeCell ref="J2:K2"/>
    <mergeCell ref="L2:M2"/>
  </mergeCells>
  <hyperlinks>
    <hyperlink ref="F1:G1" location="JUMP_TOC_Home" display="Table of contents"/>
    <hyperlink ref="D2:E2" location="JUMP_I_Top" display="Top of sheet"/>
    <hyperlink ref="D3:E3" location="JUMP_I_Bottom" display="End of sheet"/>
    <hyperlink ref="J1:K1" location="JUMP_J_Top" display="Next sheet"/>
    <hyperlink ref="C30:M30" location="JUMP_J_Top" display="JUMP_J_Top"/>
  </hyperlinks>
  <printOptions/>
  <pageMargins left="0.7874015748031497" right="0.7874015748031497" top="0.7874015748031497" bottom="0.7874015748031497" header="0.5118110236220472" footer="0.5118110236220472"/>
  <pageSetup fitToHeight="10" fitToWidth="1" horizontalDpi="600" verticalDpi="600" orientation="portrait" paperSize="9" scale="61"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tabColor indexed="9"/>
    <pageSetUpPr fitToPage="1"/>
  </sheetPr>
  <dimension ref="A1:N36"/>
  <sheetViews>
    <sheetView zoomScalePageLayoutView="0" workbookViewId="0" topLeftCell="A1">
      <pane ySplit="3" topLeftCell="A4" activePane="bottomLeft" state="frozen"/>
      <selection pane="topLeft" activeCell="F43" sqref="F43"/>
      <selection pane="bottomLeft" activeCell="D32" sqref="D32:E34"/>
    </sheetView>
  </sheetViews>
  <sheetFormatPr defaultColWidth="9.140625" defaultRowHeight="12.75"/>
  <cols>
    <col min="1" max="1" width="2.7109375" style="514" customWidth="1"/>
    <col min="2" max="3" width="4.7109375" style="514" customWidth="1"/>
    <col min="4" max="13" width="12.7109375" style="514" customWidth="1"/>
    <col min="14" max="14" width="4.7109375" style="514" customWidth="1"/>
    <col min="15" max="16384" width="9.140625" style="514" customWidth="1"/>
  </cols>
  <sheetData>
    <row r="1" spans="1:14" s="18" customFormat="1" ht="13.5" thickBot="1">
      <c r="A1" s="823" t="str">
        <f>Translations!$B$929</f>
        <v>J. 
Commenti</v>
      </c>
      <c r="B1" s="824"/>
      <c r="C1" s="825"/>
      <c r="D1" s="201" t="str">
        <f>Translations!$B$276</f>
        <v>Area di navigazione:</v>
      </c>
      <c r="E1" s="200"/>
      <c r="F1" s="779" t="str">
        <f>Translations!$B$290</f>
        <v>Indice</v>
      </c>
      <c r="G1" s="683"/>
      <c r="H1" s="683" t="str">
        <f>Translations!$B$291</f>
        <v>Foglio precedente</v>
      </c>
      <c r="I1" s="683"/>
      <c r="J1" s="683"/>
      <c r="K1" s="683"/>
      <c r="L1" s="683"/>
      <c r="M1" s="684"/>
      <c r="N1" s="9"/>
    </row>
    <row r="2" spans="1:14" s="18" customFormat="1" ht="13.5" thickBot="1">
      <c r="A2" s="826"/>
      <c r="B2" s="827"/>
      <c r="C2" s="828"/>
      <c r="D2" s="683" t="str">
        <f>Translations!$B$279</f>
        <v>Inizio foglio</v>
      </c>
      <c r="E2" s="745"/>
      <c r="F2" s="689"/>
      <c r="G2" s="689"/>
      <c r="H2" s="689"/>
      <c r="I2" s="689"/>
      <c r="J2" s="689"/>
      <c r="K2" s="689"/>
      <c r="L2" s="689"/>
      <c r="M2" s="689"/>
      <c r="N2" s="9"/>
    </row>
    <row r="3" spans="1:14" s="18" customFormat="1" ht="13.5" thickBot="1">
      <c r="A3" s="829"/>
      <c r="B3" s="830"/>
      <c r="C3" s="831"/>
      <c r="D3" s="683" t="str">
        <f>Translations!$B$280</f>
        <v>Fine foglio</v>
      </c>
      <c r="E3" s="683"/>
      <c r="F3" s="689"/>
      <c r="G3" s="689"/>
      <c r="H3" s="689"/>
      <c r="I3" s="689"/>
      <c r="J3" s="689"/>
      <c r="K3" s="689"/>
      <c r="L3" s="689"/>
      <c r="M3" s="689"/>
      <c r="N3" s="9"/>
    </row>
    <row r="4" spans="1:14" s="18" customFormat="1" ht="12.75">
      <c r="A4" s="5"/>
      <c r="B4" s="6"/>
      <c r="C4" s="7"/>
      <c r="D4" s="7"/>
      <c r="E4" s="8"/>
      <c r="F4" s="8"/>
      <c r="G4" s="8"/>
      <c r="H4" s="5"/>
      <c r="I4" s="5"/>
      <c r="J4" s="5"/>
      <c r="K4" s="5"/>
      <c r="L4" s="9"/>
      <c r="M4" s="9"/>
      <c r="N4" s="9"/>
    </row>
    <row r="5" spans="1:14" s="18" customFormat="1" ht="23.25" customHeight="1">
      <c r="A5" s="5"/>
      <c r="B5" s="11" t="s">
        <v>352</v>
      </c>
      <c r="C5" s="781" t="str">
        <f>Translations!$B$930</f>
        <v>Sheet "Comments" - COMMENTI E ULTERIORI INFORMAZIONI</v>
      </c>
      <c r="D5" s="724"/>
      <c r="E5" s="724"/>
      <c r="F5" s="724"/>
      <c r="G5" s="724"/>
      <c r="H5" s="724"/>
      <c r="I5" s="724"/>
      <c r="J5" s="724"/>
      <c r="K5" s="724"/>
      <c r="L5" s="724"/>
      <c r="M5" s="724"/>
      <c r="N5" s="9"/>
    </row>
    <row r="6" spans="1:14" s="18" customFormat="1" ht="12.75">
      <c r="A6" s="5"/>
      <c r="B6" s="5"/>
      <c r="C6" s="5"/>
      <c r="D6" s="5"/>
      <c r="E6" s="5"/>
      <c r="F6" s="5"/>
      <c r="G6" s="5"/>
      <c r="H6" s="5"/>
      <c r="I6" s="5"/>
      <c r="J6" s="5"/>
      <c r="K6" s="5"/>
      <c r="L6" s="9"/>
      <c r="M6" s="9"/>
      <c r="N6" s="9"/>
    </row>
    <row r="7" spans="1:14" s="18" customFormat="1" ht="15.75">
      <c r="A7" s="5"/>
      <c r="B7" s="12" t="s">
        <v>41</v>
      </c>
      <c r="C7" s="727" t="str">
        <f>Translations!$B$931</f>
        <v>Documenti a supporto di questa comunicazione</v>
      </c>
      <c r="D7" s="727"/>
      <c r="E7" s="727"/>
      <c r="F7" s="727"/>
      <c r="G7" s="727"/>
      <c r="H7" s="727"/>
      <c r="I7" s="727"/>
      <c r="J7" s="727"/>
      <c r="K7" s="727"/>
      <c r="L7" s="727"/>
      <c r="M7" s="727"/>
      <c r="N7" s="9"/>
    </row>
    <row r="8" spans="1:14" s="18" customFormat="1" ht="4.5" customHeight="1">
      <c r="A8" s="5"/>
      <c r="B8" s="5"/>
      <c r="C8" s="5"/>
      <c r="D8" s="5"/>
      <c r="E8" s="5"/>
      <c r="F8" s="5"/>
      <c r="G8" s="5"/>
      <c r="H8" s="5"/>
      <c r="I8" s="5"/>
      <c r="J8" s="5"/>
      <c r="K8" s="5"/>
      <c r="L8" s="9"/>
      <c r="M8" s="9"/>
      <c r="N8" s="9"/>
    </row>
    <row r="9" spans="1:14" s="18" customFormat="1" ht="15">
      <c r="A9" s="5"/>
      <c r="B9" s="16"/>
      <c r="C9" s="840" t="str">
        <f>Translations!$B$932</f>
        <v>Elencare qui tutti i documenti pertinenti presentati insieme alla comunicazione</v>
      </c>
      <c r="D9" s="724"/>
      <c r="E9" s="724"/>
      <c r="F9" s="724"/>
      <c r="G9" s="724"/>
      <c r="H9" s="724"/>
      <c r="I9" s="724"/>
      <c r="J9" s="724"/>
      <c r="K9" s="724"/>
      <c r="L9" s="724"/>
      <c r="M9" s="724"/>
      <c r="N9" s="9"/>
    </row>
    <row r="10" spans="1:13" s="18" customFormat="1" ht="12.75">
      <c r="A10" s="5"/>
      <c r="B10" s="15"/>
      <c r="C10" s="784" t="str">
        <f>Translations!$B$933</f>
        <v>Saranno necessari altri documenti a supporto di questa comunicazione. Fornire queste informazioni in formato elettronico in ogni caso possibile.</v>
      </c>
      <c r="D10" s="724"/>
      <c r="E10" s="724"/>
      <c r="F10" s="724"/>
      <c r="G10" s="724"/>
      <c r="H10" s="724"/>
      <c r="I10" s="724"/>
      <c r="J10" s="724"/>
      <c r="K10" s="724"/>
      <c r="L10" s="724"/>
      <c r="M10" s="724"/>
    </row>
    <row r="11" spans="1:13" s="18" customFormat="1" ht="12.75">
      <c r="A11" s="5"/>
      <c r="B11" s="15"/>
      <c r="C11" s="784" t="str">
        <f>Translations!$B$934</f>
        <v>Le informazioni possono essere fornire nei formati Microsoft Word, Excel, o Adobe Acrobat.</v>
      </c>
      <c r="D11" s="724"/>
      <c r="E11" s="724"/>
      <c r="F11" s="724"/>
      <c r="G11" s="724"/>
      <c r="H11" s="724"/>
      <c r="I11" s="724"/>
      <c r="J11" s="724"/>
      <c r="K11" s="724"/>
      <c r="L11" s="724"/>
      <c r="M11" s="724"/>
    </row>
    <row r="12" spans="1:13" s="18" customFormat="1" ht="12.75">
      <c r="A12" s="5"/>
      <c r="B12" s="15"/>
      <c r="C12" s="784" t="str">
        <f>Translations!$B$935</f>
        <v>Se necessario, verificare con l'autorità competente se sono accettabili altri formati di file diversi da quelli menzionati.</v>
      </c>
      <c r="D12" s="724"/>
      <c r="E12" s="724"/>
      <c r="F12" s="724"/>
      <c r="G12" s="724"/>
      <c r="H12" s="724"/>
      <c r="I12" s="724"/>
      <c r="J12" s="724"/>
      <c r="K12" s="724"/>
      <c r="L12" s="724"/>
      <c r="M12" s="724"/>
    </row>
    <row r="13" spans="1:13" s="18" customFormat="1" ht="12.75">
      <c r="A13" s="5"/>
      <c r="B13" s="15"/>
      <c r="C13" s="784" t="str">
        <f>Translations!$B$936</f>
        <v>Eventuali documenti aggiuntivi forniti devono essere chiaramente numerati, e il nome del file/numero di riferimento deve essere specificato di seguito. </v>
      </c>
      <c r="D13" s="724"/>
      <c r="E13" s="724"/>
      <c r="F13" s="724"/>
      <c r="G13" s="724"/>
      <c r="H13" s="724"/>
      <c r="I13" s="724"/>
      <c r="J13" s="724"/>
      <c r="K13" s="724"/>
      <c r="L13" s="724"/>
      <c r="M13" s="724"/>
    </row>
    <row r="14" spans="1:13" s="18" customFormat="1" ht="12.75">
      <c r="A14" s="5"/>
      <c r="B14" s="15"/>
      <c r="C14" s="784" t="str">
        <f>Translations!$B$937</f>
        <v>Si raccomanda di non fornire informazioni non pertinenti, che rallenterebbero la procedura di approvazione. </v>
      </c>
      <c r="D14" s="724"/>
      <c r="E14" s="724"/>
      <c r="F14" s="724"/>
      <c r="G14" s="724"/>
      <c r="H14" s="724"/>
      <c r="I14" s="724"/>
      <c r="J14" s="724"/>
      <c r="K14" s="724"/>
      <c r="L14" s="724"/>
      <c r="M14" s="724"/>
    </row>
    <row r="15" spans="3:13" s="18" customFormat="1" ht="12.75">
      <c r="C15" s="785" t="str">
        <f>Translations!$B$938</f>
        <v>Indicare di seguito il nome o i nomi dei file (se allegati in formato elettronico) o il numero o i numeri di riferimento del documento o dei documenti (se forniti in copia cartacea):</v>
      </c>
      <c r="D15" s="724"/>
      <c r="E15" s="724"/>
      <c r="F15" s="724"/>
      <c r="G15" s="724"/>
      <c r="H15" s="724"/>
      <c r="I15" s="724"/>
      <c r="J15" s="724"/>
      <c r="K15" s="724"/>
      <c r="L15" s="724"/>
      <c r="M15" s="724"/>
    </row>
    <row r="16" spans="1:14" s="18" customFormat="1" ht="4.5" customHeight="1">
      <c r="A16" s="5"/>
      <c r="B16" s="5"/>
      <c r="C16" s="5"/>
      <c r="D16" s="5"/>
      <c r="E16" s="5"/>
      <c r="F16" s="5"/>
      <c r="G16" s="5"/>
      <c r="H16" s="5"/>
      <c r="I16" s="5"/>
      <c r="J16" s="5"/>
      <c r="K16" s="5"/>
      <c r="L16" s="9"/>
      <c r="M16" s="9"/>
      <c r="N16" s="9"/>
    </row>
    <row r="17" spans="4:13" s="18" customFormat="1" ht="12.75">
      <c r="D17" s="22" t="str">
        <f>Translations!$B$939</f>
        <v>Nome del file/numero di riferimento</v>
      </c>
      <c r="E17" s="109"/>
      <c r="F17" s="22" t="str">
        <f>Translations!$B$940</f>
        <v>Descrizione del documento</v>
      </c>
      <c r="G17" s="22"/>
      <c r="H17" s="22"/>
      <c r="I17" s="22"/>
      <c r="J17" s="22"/>
      <c r="K17" s="22"/>
      <c r="L17" s="20"/>
      <c r="M17" s="20"/>
    </row>
    <row r="18" spans="4:13" s="18" customFormat="1" ht="12.75">
      <c r="D18" s="1067"/>
      <c r="E18" s="1068"/>
      <c r="F18" s="1069"/>
      <c r="G18" s="1070"/>
      <c r="H18" s="1070"/>
      <c r="I18" s="1070"/>
      <c r="J18" s="1070"/>
      <c r="K18" s="1070"/>
      <c r="L18" s="1070"/>
      <c r="M18" s="1070"/>
    </row>
    <row r="19" spans="4:13" s="18" customFormat="1" ht="12.75">
      <c r="D19" s="1061"/>
      <c r="E19" s="1062"/>
      <c r="F19" s="1063"/>
      <c r="G19" s="1064"/>
      <c r="H19" s="1064"/>
      <c r="I19" s="1064"/>
      <c r="J19" s="1064"/>
      <c r="K19" s="1064"/>
      <c r="L19" s="1064"/>
      <c r="M19" s="1064"/>
    </row>
    <row r="20" spans="4:13" s="18" customFormat="1" ht="12.75">
      <c r="D20" s="1061"/>
      <c r="E20" s="1062"/>
      <c r="F20" s="1063"/>
      <c r="G20" s="1064"/>
      <c r="H20" s="1064"/>
      <c r="I20" s="1064"/>
      <c r="J20" s="1064"/>
      <c r="K20" s="1064"/>
      <c r="L20" s="1064"/>
      <c r="M20" s="1064"/>
    </row>
    <row r="21" spans="4:13" s="18" customFormat="1" ht="12.75">
      <c r="D21" s="1061"/>
      <c r="E21" s="1062"/>
      <c r="F21" s="1063"/>
      <c r="G21" s="1064"/>
      <c r="H21" s="1064"/>
      <c r="I21" s="1064"/>
      <c r="J21" s="1064"/>
      <c r="K21" s="1064"/>
      <c r="L21" s="1064"/>
      <c r="M21" s="1064"/>
    </row>
    <row r="22" spans="4:13" s="18" customFormat="1" ht="12.75">
      <c r="D22" s="1061"/>
      <c r="E22" s="1062"/>
      <c r="F22" s="1063"/>
      <c r="G22" s="1064"/>
      <c r="H22" s="1064"/>
      <c r="I22" s="1064"/>
      <c r="J22" s="1064"/>
      <c r="K22" s="1064"/>
      <c r="L22" s="1064"/>
      <c r="M22" s="1064"/>
    </row>
    <row r="23" spans="4:13" s="18" customFormat="1" ht="12.75">
      <c r="D23" s="1061"/>
      <c r="E23" s="1062"/>
      <c r="F23" s="1063"/>
      <c r="G23" s="1064"/>
      <c r="H23" s="1064"/>
      <c r="I23" s="1064"/>
      <c r="J23" s="1064"/>
      <c r="K23" s="1064"/>
      <c r="L23" s="1064"/>
      <c r="M23" s="1064"/>
    </row>
    <row r="24" spans="4:13" s="18" customFormat="1" ht="12.75">
      <c r="D24" s="1061"/>
      <c r="E24" s="1062"/>
      <c r="F24" s="1063"/>
      <c r="G24" s="1064"/>
      <c r="H24" s="1064"/>
      <c r="I24" s="1064"/>
      <c r="J24" s="1064"/>
      <c r="K24" s="1064"/>
      <c r="L24" s="1064"/>
      <c r="M24" s="1064"/>
    </row>
    <row r="25" spans="4:13" s="18" customFormat="1" ht="12.75">
      <c r="D25" s="1061"/>
      <c r="E25" s="1062"/>
      <c r="F25" s="1063"/>
      <c r="G25" s="1064"/>
      <c r="H25" s="1064"/>
      <c r="I25" s="1064"/>
      <c r="J25" s="1064"/>
      <c r="K25" s="1064"/>
      <c r="L25" s="1064"/>
      <c r="M25" s="1064"/>
    </row>
    <row r="26" spans="4:13" s="18" customFormat="1" ht="12.75">
      <c r="D26" s="1072"/>
      <c r="E26" s="1073"/>
      <c r="F26" s="1065"/>
      <c r="G26" s="1066"/>
      <c r="H26" s="1066"/>
      <c r="I26" s="1066"/>
      <c r="J26" s="1066"/>
      <c r="K26" s="1066"/>
      <c r="L26" s="1066"/>
      <c r="M26" s="1066"/>
    </row>
    <row r="27" s="18" customFormat="1" ht="12.75"/>
    <row r="28" spans="1:14" s="18" customFormat="1" ht="15.75">
      <c r="A28" s="5"/>
      <c r="B28" s="12" t="s">
        <v>75</v>
      </c>
      <c r="C28" s="727" t="str">
        <f>Translations!$B$941</f>
        <v>Spazio libero per tutti i tipi di informazioni aggiuntive</v>
      </c>
      <c r="D28" s="727"/>
      <c r="E28" s="727"/>
      <c r="F28" s="727"/>
      <c r="G28" s="727"/>
      <c r="H28" s="727"/>
      <c r="I28" s="727"/>
      <c r="J28" s="727"/>
      <c r="K28" s="727"/>
      <c r="L28" s="727"/>
      <c r="M28" s="727"/>
      <c r="N28" s="9"/>
    </row>
    <row r="29" spans="1:14" s="18" customFormat="1" ht="4.5" customHeight="1">
      <c r="A29" s="5"/>
      <c r="B29" s="5"/>
      <c r="C29" s="5"/>
      <c r="D29" s="5"/>
      <c r="E29" s="5"/>
      <c r="F29" s="5"/>
      <c r="G29" s="5"/>
      <c r="H29" s="5"/>
      <c r="I29" s="5"/>
      <c r="J29" s="5"/>
      <c r="K29" s="5"/>
      <c r="L29" s="9"/>
      <c r="M29" s="9"/>
      <c r="N29" s="9"/>
    </row>
    <row r="30" spans="1:14" s="18" customFormat="1" ht="30" customHeight="1">
      <c r="A30" s="5"/>
      <c r="B30" s="68"/>
      <c r="C30" s="1071" t="str">
        <f>Translations!$B$942</f>
        <v>Nello spazio che segue è possibile inserire tutte le informazioni che non sono adatte ad essere riportate in altri fogli, ma sono ritenute importanti per l'autorità competente</v>
      </c>
      <c r="D30" s="1071"/>
      <c r="E30" s="1071"/>
      <c r="F30" s="1071"/>
      <c r="G30" s="1071"/>
      <c r="H30" s="1071"/>
      <c r="I30" s="1071"/>
      <c r="J30" s="1071"/>
      <c r="K30" s="1071"/>
      <c r="L30" s="1071"/>
      <c r="M30" s="1071"/>
      <c r="N30" s="9"/>
    </row>
    <row r="31" spans="1:13" ht="12.75">
      <c r="A31" s="676"/>
      <c r="B31" s="676"/>
      <c r="C31" s="676"/>
      <c r="D31" s="676"/>
      <c r="E31" s="676"/>
      <c r="F31" s="676"/>
      <c r="G31" s="676"/>
      <c r="H31" s="676"/>
      <c r="I31" s="676"/>
      <c r="J31" s="676"/>
      <c r="K31" s="676"/>
      <c r="L31" s="676"/>
      <c r="M31" s="676"/>
    </row>
    <row r="32" spans="1:13" ht="12.75">
      <c r="A32" s="676"/>
      <c r="B32" s="676"/>
      <c r="C32" s="676"/>
      <c r="D32" s="1076"/>
      <c r="E32" s="676"/>
      <c r="F32" s="676"/>
      <c r="G32" s="676"/>
      <c r="H32" s="676"/>
      <c r="I32" s="676"/>
      <c r="J32" s="676"/>
      <c r="K32" s="676"/>
      <c r="L32" s="676"/>
      <c r="M32" s="676"/>
    </row>
    <row r="33" spans="1:13" ht="12.75">
      <c r="A33" s="676"/>
      <c r="B33" s="676"/>
      <c r="C33" s="676"/>
      <c r="D33" s="1076"/>
      <c r="E33" s="676"/>
      <c r="F33" s="676"/>
      <c r="G33" s="676"/>
      <c r="H33" s="676"/>
      <c r="I33" s="676"/>
      <c r="J33" s="676"/>
      <c r="K33" s="676"/>
      <c r="L33" s="676"/>
      <c r="M33" s="676"/>
    </row>
    <row r="34" spans="1:13" ht="12.75">
      <c r="A34" s="676"/>
      <c r="B34" s="676"/>
      <c r="C34" s="676"/>
      <c r="D34" s="676"/>
      <c r="E34" s="676"/>
      <c r="F34" s="676"/>
      <c r="G34" s="676"/>
      <c r="H34" s="676"/>
      <c r="I34" s="676"/>
      <c r="J34" s="676"/>
      <c r="K34" s="676"/>
      <c r="L34" s="676"/>
      <c r="M34" s="676"/>
    </row>
    <row r="35" spans="1:13" ht="12.75">
      <c r="A35" s="676"/>
      <c r="B35" s="676"/>
      <c r="C35" s="676"/>
      <c r="D35" s="676"/>
      <c r="E35" s="676"/>
      <c r="F35" s="676"/>
      <c r="G35" s="676"/>
      <c r="H35" s="676"/>
      <c r="I35" s="676"/>
      <c r="J35" s="676"/>
      <c r="K35" s="676"/>
      <c r="L35" s="676"/>
      <c r="M35" s="676"/>
    </row>
    <row r="36" spans="1:13" ht="12.75">
      <c r="A36" s="676"/>
      <c r="B36" s="676"/>
      <c r="C36" s="676"/>
      <c r="D36" s="676"/>
      <c r="E36" s="676"/>
      <c r="F36" s="676"/>
      <c r="G36" s="676"/>
      <c r="H36" s="676"/>
      <c r="I36" s="676"/>
      <c r="J36" s="676"/>
      <c r="K36" s="676"/>
      <c r="L36" s="676"/>
      <c r="M36" s="676"/>
    </row>
  </sheetData>
  <sheetProtection sheet="1" objects="1" scenarios="1" formatCells="0" formatColumns="0" formatRows="0"/>
  <mergeCells count="44">
    <mergeCell ref="C30:M30"/>
    <mergeCell ref="D25:E25"/>
    <mergeCell ref="F25:M25"/>
    <mergeCell ref="D21:E21"/>
    <mergeCell ref="F21:M21"/>
    <mergeCell ref="D22:E22"/>
    <mergeCell ref="F23:M23"/>
    <mergeCell ref="D24:E24"/>
    <mergeCell ref="C28:M28"/>
    <mergeCell ref="D26:E26"/>
    <mergeCell ref="C10:M10"/>
    <mergeCell ref="J3:K3"/>
    <mergeCell ref="C7:M7"/>
    <mergeCell ref="D2:E2"/>
    <mergeCell ref="F2:G2"/>
    <mergeCell ref="H2:I2"/>
    <mergeCell ref="J2:K2"/>
    <mergeCell ref="C5:M5"/>
    <mergeCell ref="C9:M9"/>
    <mergeCell ref="L3:M3"/>
    <mergeCell ref="A1:C3"/>
    <mergeCell ref="J1:K1"/>
    <mergeCell ref="D3:E3"/>
    <mergeCell ref="L1:M1"/>
    <mergeCell ref="F3:G3"/>
    <mergeCell ref="H3:I3"/>
    <mergeCell ref="F1:G1"/>
    <mergeCell ref="H1:I1"/>
    <mergeCell ref="L2:M2"/>
    <mergeCell ref="F26:M26"/>
    <mergeCell ref="C13:M13"/>
    <mergeCell ref="C14:M14"/>
    <mergeCell ref="C15:M15"/>
    <mergeCell ref="D20:E20"/>
    <mergeCell ref="F20:M20"/>
    <mergeCell ref="D18:E18"/>
    <mergeCell ref="F18:M18"/>
    <mergeCell ref="C11:M11"/>
    <mergeCell ref="C12:M12"/>
    <mergeCell ref="D19:E19"/>
    <mergeCell ref="F24:M24"/>
    <mergeCell ref="D23:E23"/>
    <mergeCell ref="F19:M19"/>
    <mergeCell ref="F22:M22"/>
  </mergeCells>
  <hyperlinks>
    <hyperlink ref="F1:G1" location="JUMP_TOC_Home" display="Table of contents"/>
    <hyperlink ref="D2:E2" location="JUMP_J_Top" display="Top of sheet"/>
    <hyperlink ref="D3:E3" location="JUMP_J_II" display="End of sheet"/>
    <hyperlink ref="H1:I1" location="JUMP_I_Top" display="Previous sheet"/>
  </hyperlinks>
  <printOptions/>
  <pageMargins left="0.7874015748031497" right="0.7874015748031497" top="0.7874015748031497" bottom="0.7874015748031497" header="0.5118110236220472" footer="0.5118110236220472"/>
  <pageSetup fitToHeight="10" fitToWidth="1" horizontalDpi="600" verticalDpi="600" orientation="portrait" paperSize="9" scale="61"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2"/>
    <pageSetUpPr fitToPage="1"/>
  </sheetPr>
  <dimension ref="A1:AF376"/>
  <sheetViews>
    <sheetView zoomScalePageLayoutView="0" workbookViewId="0" topLeftCell="A1">
      <selection activeCell="A1" sqref="A1:IV16384"/>
    </sheetView>
  </sheetViews>
  <sheetFormatPr defaultColWidth="9.140625" defaultRowHeight="12.75"/>
  <cols>
    <col min="1" max="1" width="34.421875" style="82" customWidth="1"/>
    <col min="2" max="18" width="9.140625" style="82" customWidth="1"/>
    <col min="19" max="16384" width="9.140625" style="82" customWidth="1"/>
  </cols>
  <sheetData>
    <row r="1" spans="1:8" ht="12.75">
      <c r="A1" s="114" t="str">
        <f>Translations!$B$1431</f>
        <v>Nome</v>
      </c>
      <c r="B1" s="114" t="str">
        <f>Translations!$B$1432</f>
        <v>Costante</v>
      </c>
      <c r="C1" s="114" t="str">
        <f>Translations!$B$1433</f>
        <v>Altre costanti</v>
      </c>
      <c r="D1" s="115"/>
      <c r="E1" s="115"/>
      <c r="F1" s="115"/>
      <c r="G1" s="115"/>
      <c r="H1" s="115"/>
    </row>
    <row r="2" spans="1:11" ht="12.75">
      <c r="A2" s="335" t="s">
        <v>73</v>
      </c>
      <c r="B2" s="116">
        <v>2011</v>
      </c>
      <c r="C2" s="116">
        <v>2012</v>
      </c>
      <c r="D2" s="116">
        <v>2013</v>
      </c>
      <c r="E2" s="116">
        <v>2014</v>
      </c>
      <c r="F2" s="116">
        <v>2015</v>
      </c>
      <c r="G2" s="116">
        <v>2016</v>
      </c>
      <c r="H2" s="116">
        <v>2017</v>
      </c>
      <c r="I2" s="116">
        <v>2018</v>
      </c>
      <c r="J2" s="116">
        <v>2019</v>
      </c>
      <c r="K2" s="116">
        <v>2020</v>
      </c>
    </row>
    <row r="3" spans="1:32" ht="12.75">
      <c r="A3" s="335" t="s">
        <v>559</v>
      </c>
      <c r="B3" s="116">
        <v>1</v>
      </c>
      <c r="C3" s="116">
        <v>2</v>
      </c>
      <c r="D3" s="116">
        <v>3</v>
      </c>
      <c r="E3" s="116">
        <v>4</v>
      </c>
      <c r="F3" s="116">
        <v>5</v>
      </c>
      <c r="G3" s="116">
        <v>6</v>
      </c>
      <c r="H3" s="116">
        <v>7</v>
      </c>
      <c r="I3" s="116">
        <v>8</v>
      </c>
      <c r="J3" s="116">
        <v>9</v>
      </c>
      <c r="K3" s="116">
        <v>10</v>
      </c>
      <c r="L3" s="116">
        <v>11</v>
      </c>
      <c r="M3" s="116">
        <v>12</v>
      </c>
      <c r="N3" s="116">
        <v>13</v>
      </c>
      <c r="O3" s="116">
        <v>14</v>
      </c>
      <c r="P3" s="116">
        <v>15</v>
      </c>
      <c r="Q3" s="116">
        <v>16</v>
      </c>
      <c r="R3" s="116">
        <v>17</v>
      </c>
      <c r="S3" s="116">
        <v>18</v>
      </c>
      <c r="T3" s="116">
        <v>19</v>
      </c>
      <c r="U3" s="116">
        <v>20</v>
      </c>
      <c r="V3" s="116">
        <v>21</v>
      </c>
      <c r="W3" s="116">
        <v>22</v>
      </c>
      <c r="X3" s="116">
        <v>23</v>
      </c>
      <c r="Y3" s="116">
        <v>24</v>
      </c>
      <c r="Z3" s="116">
        <v>25</v>
      </c>
      <c r="AA3" s="116">
        <v>26</v>
      </c>
      <c r="AB3" s="116">
        <v>27</v>
      </c>
      <c r="AC3" s="116">
        <v>28</v>
      </c>
      <c r="AD3" s="116">
        <v>29</v>
      </c>
      <c r="AE3" s="116">
        <v>30</v>
      </c>
      <c r="AF3" s="116">
        <v>31</v>
      </c>
    </row>
    <row r="4" spans="1:13" ht="12.75">
      <c r="A4" s="335" t="s">
        <v>560</v>
      </c>
      <c r="B4" s="116">
        <v>1</v>
      </c>
      <c r="C4" s="116">
        <v>2</v>
      </c>
      <c r="D4" s="116">
        <v>3</v>
      </c>
      <c r="E4" s="116">
        <v>4</v>
      </c>
      <c r="F4" s="116">
        <v>5</v>
      </c>
      <c r="G4" s="116">
        <v>6</v>
      </c>
      <c r="H4" s="116">
        <v>7</v>
      </c>
      <c r="I4" s="116">
        <v>8</v>
      </c>
      <c r="J4" s="116">
        <v>9</v>
      </c>
      <c r="K4" s="116">
        <v>10</v>
      </c>
      <c r="L4" s="116">
        <v>11</v>
      </c>
      <c r="M4" s="116">
        <v>12</v>
      </c>
    </row>
    <row r="5" spans="1:7" ht="12.75">
      <c r="A5" s="82" t="s">
        <v>265</v>
      </c>
      <c r="B5" s="116" t="s">
        <v>266</v>
      </c>
      <c r="C5" s="116" t="s">
        <v>267</v>
      </c>
      <c r="D5" s="83"/>
      <c r="E5" s="83"/>
      <c r="F5" s="83"/>
      <c r="G5" s="83"/>
    </row>
    <row r="6" spans="1:3" ht="12.75">
      <c r="A6" s="82" t="s">
        <v>39</v>
      </c>
      <c r="B6" s="116" t="b">
        <v>1</v>
      </c>
      <c r="C6" s="116" t="b">
        <v>0</v>
      </c>
    </row>
    <row r="7" spans="1:4" ht="12.75">
      <c r="A7" s="82" t="s">
        <v>40</v>
      </c>
      <c r="B7" s="116" t="b">
        <v>1</v>
      </c>
      <c r="C7" s="116" t="b">
        <v>0</v>
      </c>
      <c r="D7" s="117" t="str">
        <f>EUconst_NA</f>
        <v>N.D.</v>
      </c>
    </row>
    <row r="8" spans="1:3" ht="12.75">
      <c r="A8" s="82" t="s">
        <v>240</v>
      </c>
      <c r="B8" s="116" t="str">
        <f>Translations!B3</f>
        <v>Valori assoluti</v>
      </c>
      <c r="C8" s="116" t="str">
        <f>Translations!B4</f>
        <v>Percentuali</v>
      </c>
    </row>
    <row r="9" spans="1:4" ht="12.75">
      <c r="A9" s="335" t="s">
        <v>95</v>
      </c>
      <c r="B9" s="329" t="str">
        <f>Translations!$B$1434</f>
        <v>Attività totale</v>
      </c>
      <c r="C9" s="329" t="str">
        <f>Translations!$B$1435</f>
        <v>Relativo alla capacità aggiunta</v>
      </c>
      <c r="D9" s="327" t="s">
        <v>285</v>
      </c>
    </row>
    <row r="10" spans="1:4" ht="12.75">
      <c r="A10" s="335" t="s">
        <v>516</v>
      </c>
      <c r="B10" s="329" t="str">
        <f>Translations!$B$1005</f>
        <v>Utenze private</v>
      </c>
      <c r="C10" s="327" t="s">
        <v>285</v>
      </c>
      <c r="D10" s="327"/>
    </row>
    <row r="11" spans="1:4" ht="12.75">
      <c r="A11" s="335" t="s">
        <v>110</v>
      </c>
      <c r="B11" s="329" t="str">
        <f>Translations!$B$1436</f>
        <v>Assegnazione totale finale a titolo gratuito</v>
      </c>
      <c r="C11" s="327" t="s">
        <v>285</v>
      </c>
      <c r="D11" s="327"/>
    </row>
    <row r="12" spans="1:2" ht="12.75">
      <c r="A12" s="82" t="s">
        <v>490</v>
      </c>
      <c r="B12" s="116" t="str">
        <f>Translations!$B$2</f>
        <v>N.D.</v>
      </c>
    </row>
    <row r="13" spans="1:2" ht="12.75">
      <c r="A13" s="82" t="s">
        <v>96</v>
      </c>
      <c r="B13" s="116" t="s">
        <v>97</v>
      </c>
    </row>
    <row r="14" spans="1:2" ht="12.75">
      <c r="A14" s="82" t="s">
        <v>118</v>
      </c>
      <c r="B14" s="116" t="str">
        <f>Translations!B5</f>
        <v>Unità</v>
      </c>
    </row>
    <row r="15" spans="1:2" ht="12.75">
      <c r="A15" s="82" t="s">
        <v>336</v>
      </c>
      <c r="B15" s="116" t="str">
        <f>Translations!B6</f>
        <v>Mese</v>
      </c>
    </row>
    <row r="16" spans="1:2" ht="12.75">
      <c r="A16" s="82" t="s">
        <v>422</v>
      </c>
      <c r="B16" s="116" t="str">
        <f>Translations!B7</f>
        <v>Combustibile</v>
      </c>
    </row>
    <row r="17" spans="1:2" ht="12.75">
      <c r="A17" s="82" t="s">
        <v>262</v>
      </c>
      <c r="B17" s="116" t="str">
        <f>Translations!B8</f>
        <v>Parametro di riferimento</v>
      </c>
    </row>
    <row r="18" spans="1:3" ht="12.75">
      <c r="A18" s="82" t="s">
        <v>245</v>
      </c>
      <c r="B18" s="116" t="str">
        <f>Translations!$B$440</f>
        <v>Sottoimpianto</v>
      </c>
      <c r="C18" s="327" t="s">
        <v>285</v>
      </c>
    </row>
    <row r="19" spans="1:2" ht="12.75">
      <c r="A19" s="82" t="s">
        <v>423</v>
      </c>
      <c r="B19" s="116" t="str">
        <f>Translations!B9</f>
        <v>Fonte di emissioni di processo</v>
      </c>
    </row>
    <row r="20" spans="1:2" ht="12.75">
      <c r="A20" s="82" t="s">
        <v>513</v>
      </c>
      <c r="B20" s="116" t="str">
        <f>Translations!B10</f>
        <v>Componente di bilancio di massa</v>
      </c>
    </row>
    <row r="21" spans="1:2" ht="12.75">
      <c r="A21" s="82" t="s">
        <v>514</v>
      </c>
      <c r="B21" s="116" t="str">
        <f>Translations!B11</f>
        <v>Fonte di CEMS</v>
      </c>
    </row>
    <row r="22" spans="1:2" ht="12.75">
      <c r="A22" s="82" t="s">
        <v>515</v>
      </c>
      <c r="B22" s="116" t="str">
        <f>Translations!B12</f>
        <v>Fonte di N2O</v>
      </c>
    </row>
    <row r="23" spans="1:2" ht="12.75">
      <c r="A23" s="82" t="s">
        <v>318</v>
      </c>
      <c r="B23" s="116" t="str">
        <f>Translations!B13</f>
        <v>Fonte di PFC</v>
      </c>
    </row>
    <row r="24" spans="1:2" ht="12.75">
      <c r="A24" s="82" t="s">
        <v>319</v>
      </c>
      <c r="B24" s="116" t="str">
        <f>Translations!B14</f>
        <v>Emissioni trasferite o stoccate</v>
      </c>
    </row>
    <row r="25" spans="1:2" ht="12.75">
      <c r="A25" s="82" t="s">
        <v>337</v>
      </c>
      <c r="B25" s="116" t="str">
        <f>Translations!B15</f>
        <v>Sottoimpianto con parametro di riferimento di prodotto</v>
      </c>
    </row>
    <row r="26" spans="1:2" ht="12.75">
      <c r="A26" s="82" t="s">
        <v>439</v>
      </c>
      <c r="B26" s="116" t="str">
        <f>Translations!B16</f>
        <v>Sottoimpianto alternativo</v>
      </c>
    </row>
    <row r="27" spans="1:2" ht="12.75">
      <c r="A27" s="87" t="s">
        <v>58</v>
      </c>
      <c r="B27" s="116" t="str">
        <f>Translations!B17</f>
        <v>anno</v>
      </c>
    </row>
    <row r="28" spans="1:3" ht="12.75">
      <c r="A28" s="319" t="s">
        <v>3</v>
      </c>
      <c r="B28" s="329" t="str">
        <f>Translations!$B$6</f>
        <v>Mese</v>
      </c>
      <c r="C28" s="327" t="s">
        <v>285</v>
      </c>
    </row>
    <row r="29" spans="1:2" ht="12.75">
      <c r="A29" s="87" t="s">
        <v>59</v>
      </c>
      <c r="B29" s="116" t="str">
        <f>Translations!B18</f>
        <v>tonnellate</v>
      </c>
    </row>
    <row r="30" spans="1:2" ht="12.75">
      <c r="A30" s="87" t="s">
        <v>495</v>
      </c>
      <c r="B30" s="116" t="s">
        <v>493</v>
      </c>
    </row>
    <row r="31" spans="1:2" ht="12.75">
      <c r="A31" s="87" t="s">
        <v>119</v>
      </c>
      <c r="B31" s="116" t="s">
        <v>120</v>
      </c>
    </row>
    <row r="32" spans="1:7" ht="12.75">
      <c r="A32" s="87" t="s">
        <v>496</v>
      </c>
      <c r="B32" s="116" t="s">
        <v>494</v>
      </c>
      <c r="C32" s="87"/>
      <c r="D32" s="87"/>
      <c r="E32" s="87"/>
      <c r="F32" s="87"/>
      <c r="G32" s="87"/>
    </row>
    <row r="33" spans="1:7" ht="12.75">
      <c r="A33" s="87" t="s">
        <v>125</v>
      </c>
      <c r="B33" s="116" t="s">
        <v>126</v>
      </c>
      <c r="C33" s="87"/>
      <c r="D33" s="87"/>
      <c r="E33" s="87"/>
      <c r="F33" s="87"/>
      <c r="G33" s="87"/>
    </row>
    <row r="34" spans="1:7" ht="12.75">
      <c r="A34" s="87" t="s">
        <v>127</v>
      </c>
      <c r="B34" s="116" t="s">
        <v>128</v>
      </c>
      <c r="C34" s="87"/>
      <c r="D34" s="87"/>
      <c r="E34" s="87"/>
      <c r="F34" s="87"/>
      <c r="G34" s="87"/>
    </row>
    <row r="35" spans="1:2" ht="12.75">
      <c r="A35" s="87" t="s">
        <v>160</v>
      </c>
      <c r="B35" s="116" t="str">
        <f>EUconst_TJ&amp;" / "&amp;EUconst_Year</f>
        <v>TJ / anno</v>
      </c>
    </row>
    <row r="36" spans="1:2" ht="12.75">
      <c r="A36" s="87" t="s">
        <v>121</v>
      </c>
      <c r="B36" s="116" t="s">
        <v>122</v>
      </c>
    </row>
    <row r="37" spans="1:2" ht="12.75">
      <c r="A37" s="87" t="s">
        <v>154</v>
      </c>
      <c r="B37" s="116" t="str">
        <f>EUconst_MWh&amp;" / "&amp;EUconst_Year</f>
        <v>MWh / anno</v>
      </c>
    </row>
    <row r="38" spans="1:2" ht="12.75">
      <c r="A38" s="87" t="s">
        <v>123</v>
      </c>
      <c r="B38" s="116" t="s">
        <v>124</v>
      </c>
    </row>
    <row r="39" spans="1:2" ht="12.75">
      <c r="A39" s="87" t="s">
        <v>155</v>
      </c>
      <c r="B39" s="116" t="str">
        <f>EUconst_t&amp;" / "&amp;EUconst_Year</f>
        <v>t / anno</v>
      </c>
    </row>
    <row r="40" spans="1:2" ht="12.75">
      <c r="A40" s="87" t="s">
        <v>98</v>
      </c>
      <c r="B40" s="116" t="str">
        <f>EUconst_EUA&amp;" / "&amp;EUconst_Year</f>
        <v>EUA / anno</v>
      </c>
    </row>
    <row r="41" spans="1:2" ht="12.75">
      <c r="A41" s="87" t="s">
        <v>99</v>
      </c>
      <c r="B41" s="116" t="str">
        <f>EUconst_EUA&amp;" / "&amp;EUconst_t</f>
        <v>EUA / t</v>
      </c>
    </row>
    <row r="42" spans="1:2" ht="12.75">
      <c r="A42" s="87" t="s">
        <v>156</v>
      </c>
      <c r="B42" s="116" t="str">
        <f>EUconst_GJ&amp;" / "&amp;EUconst_t</f>
        <v>GJ / t</v>
      </c>
    </row>
    <row r="43" spans="1:2" ht="12.75">
      <c r="A43" s="87" t="s">
        <v>320</v>
      </c>
      <c r="B43" s="116" t="str">
        <f>EUconst_GJ&amp;" / "&amp;EUconst_Year</f>
        <v>GJ / anno</v>
      </c>
    </row>
    <row r="44" spans="1:2" ht="12.75">
      <c r="A44" s="87" t="s">
        <v>157</v>
      </c>
      <c r="B44" s="116" t="str">
        <f>EUconst_tCO2&amp;" / "&amp;EUconst_TJ</f>
        <v>t CO2 / TJ</v>
      </c>
    </row>
    <row r="45" spans="1:2" ht="12.75">
      <c r="A45" s="87" t="s">
        <v>158</v>
      </c>
      <c r="B45" s="116" t="str">
        <f>EUconst_tCO2&amp;" / "&amp;EUconst_Year</f>
        <v>t CO2 / anno</v>
      </c>
    </row>
    <row r="46" spans="1:2" ht="12.75">
      <c r="A46" s="87" t="s">
        <v>159</v>
      </c>
      <c r="B46" s="116" t="str">
        <f>EUconst_tCO2&amp;" / "&amp;EUconst_t</f>
        <v>t CO2 / t</v>
      </c>
    </row>
    <row r="47" spans="1:2" ht="12.75">
      <c r="A47" s="87" t="s">
        <v>161</v>
      </c>
      <c r="B47" s="116" t="str">
        <f>EUconst_tN2O&amp;" / "&amp;EUconst_Year</f>
        <v>t N2O / anno</v>
      </c>
    </row>
    <row r="48" spans="1:2" ht="12.75">
      <c r="A48" s="87" t="s">
        <v>162</v>
      </c>
      <c r="B48" s="116" t="s">
        <v>77</v>
      </c>
    </row>
    <row r="49" spans="1:2" ht="12.75">
      <c r="A49" s="87" t="s">
        <v>163</v>
      </c>
      <c r="B49" s="116" t="str">
        <f>EUconst_tCO2e&amp;"/"&amp;EUconst_Year</f>
        <v>t CO2e/anno</v>
      </c>
    </row>
    <row r="50" spans="1:2" ht="12.75">
      <c r="A50" s="87" t="s">
        <v>164</v>
      </c>
      <c r="B50" s="116" t="s">
        <v>289</v>
      </c>
    </row>
    <row r="51" spans="1:2" ht="12.75">
      <c r="A51" s="87" t="s">
        <v>165</v>
      </c>
      <c r="B51" s="116" t="s">
        <v>290</v>
      </c>
    </row>
    <row r="52" spans="1:2" ht="12.75">
      <c r="A52" s="87" t="s">
        <v>166</v>
      </c>
      <c r="B52" s="116" t="s">
        <v>292</v>
      </c>
    </row>
    <row r="53" spans="1:2" ht="12.75">
      <c r="A53" s="87" t="s">
        <v>167</v>
      </c>
      <c r="B53" s="116" t="s">
        <v>293</v>
      </c>
    </row>
    <row r="54" spans="1:2" ht="12.75">
      <c r="A54" s="87" t="s">
        <v>168</v>
      </c>
      <c r="B54" s="116" t="s">
        <v>294</v>
      </c>
    </row>
    <row r="55" spans="1:2" ht="12.75">
      <c r="A55" s="87" t="s">
        <v>169</v>
      </c>
      <c r="B55" s="116" t="s">
        <v>76</v>
      </c>
    </row>
    <row r="56" spans="1:2" ht="12.75">
      <c r="A56" s="87" t="s">
        <v>170</v>
      </c>
      <c r="B56" s="116" t="str">
        <f>EUconst_tCO2e&amp;"/"&amp;EUconst_t</f>
        <v>t CO2e/t</v>
      </c>
    </row>
    <row r="57" spans="1:2" ht="12.75">
      <c r="A57" s="87" t="s">
        <v>129</v>
      </c>
      <c r="B57" s="116" t="str">
        <f>Translations!$B$19</f>
        <v>o</v>
      </c>
    </row>
    <row r="58" spans="1:3" ht="12.75">
      <c r="A58" s="87" t="s">
        <v>171</v>
      </c>
      <c r="B58" s="116" t="str">
        <f>"% "&amp;EUconst_Or&amp;" "&amp;EUconst_TJ</f>
        <v>% o TJ</v>
      </c>
      <c r="C58" s="327" t="s">
        <v>0</v>
      </c>
    </row>
    <row r="59" spans="1:3" ht="12.75">
      <c r="A59" s="87" t="s">
        <v>345</v>
      </c>
      <c r="B59" s="116" t="str">
        <f>"% "&amp;EUconst_Or&amp;" "&amp;EUconst_MWh</f>
        <v>% o MWh</v>
      </c>
      <c r="C59" s="327" t="s">
        <v>0</v>
      </c>
    </row>
    <row r="60" spans="1:3" ht="12.75">
      <c r="A60" s="87" t="s">
        <v>346</v>
      </c>
      <c r="B60" s="116" t="str">
        <f>"% "&amp;EUconst_Or&amp;" "&amp;EUconst_tCO2e</f>
        <v>% o t CO2e</v>
      </c>
      <c r="C60" s="327" t="s">
        <v>0</v>
      </c>
    </row>
    <row r="61" spans="1:5" ht="12.75">
      <c r="A61" s="319" t="s">
        <v>424</v>
      </c>
      <c r="B61" s="329" t="str">
        <f>Translations!$B$1437</f>
        <v>Ampliamenti (articolo 20 delle CIM) e/o riduzioni (articolo 21 delle CIM) sostanziali della capacità</v>
      </c>
      <c r="C61" s="329" t="str">
        <f>Translations!$B$1438</f>
        <v>Cessazione delle attività dell'impianto nel suo complesso (articolo 22 delle CIM)</v>
      </c>
      <c r="D61" s="329" t="str">
        <f>Translations!$B$1439</f>
        <v>Cessazioni parziali delle attività e/o recupero da cessazioni parziali (articolo 23 delle CIM)</v>
      </c>
      <c r="E61" s="327" t="s">
        <v>285</v>
      </c>
    </row>
    <row r="62" spans="1:5" ht="12.75">
      <c r="A62" s="319" t="s">
        <v>248</v>
      </c>
      <c r="B62" s="318" t="str">
        <f>Translations!$B$1440</f>
        <v>L'impianto è un impianto ex novo e chiede l'assegnazione di quote come nuovo entrante ai sensi dell'articolo 17 delle CIM.</v>
      </c>
      <c r="C62" s="317" t="s">
        <v>285</v>
      </c>
      <c r="D62" s="376"/>
      <c r="E62" s="327"/>
    </row>
    <row r="63" spans="1:7" ht="12.75">
      <c r="A63" s="319" t="s">
        <v>287</v>
      </c>
      <c r="B63" s="329" t="str">
        <f>Translations!$B$1441</f>
        <v>primo sottoimpianto di un impianto ex novo</v>
      </c>
      <c r="C63" s="329" t="str">
        <f>Translations!$B$1442</f>
        <v>ampliamento sostanziale della capacità</v>
      </c>
      <c r="D63" s="329" t="str">
        <f>Translations!$B$1443</f>
        <v>riduzione sostanziale della capacità</v>
      </c>
      <c r="E63" s="329" t="str">
        <f>Translations!$B$1444</f>
        <v>cessazione parziale delle attività</v>
      </c>
      <c r="F63" s="329" t="str">
        <f>Translations!$B$1445</f>
        <v>ripresa dopo cessazione parziale</v>
      </c>
      <c r="G63" s="327" t="s">
        <v>285</v>
      </c>
    </row>
    <row r="64" spans="1:8" ht="12.75">
      <c r="A64" s="319" t="s">
        <v>6</v>
      </c>
      <c r="B64" s="329" t="str">
        <f>B63</f>
        <v>primo sottoimpianto di un impianto ex novo</v>
      </c>
      <c r="C64" s="329" t="str">
        <f>C63</f>
        <v>ampliamento sostanziale della capacità</v>
      </c>
      <c r="D64" s="329" t="str">
        <f>D63</f>
        <v>riduzione sostanziale della capacità</v>
      </c>
      <c r="E64" s="329" t="str">
        <f>E63</f>
        <v>cessazione parziale delle attività</v>
      </c>
      <c r="F64" s="329" t="str">
        <f>F63</f>
        <v>ripresa dopo cessazione parziale</v>
      </c>
      <c r="G64" s="329" t="str">
        <f>Translations!$B$1446</f>
        <v>nessuna</v>
      </c>
      <c r="H64" s="327" t="s">
        <v>285</v>
      </c>
    </row>
    <row r="65" spans="1:8" ht="12.75">
      <c r="A65" s="319" t="s">
        <v>25</v>
      </c>
      <c r="B65" s="329" t="str">
        <f>C64</f>
        <v>ampliamento sostanziale della capacità</v>
      </c>
      <c r="C65" s="329" t="str">
        <f>D64</f>
        <v>riduzione sostanziale della capacità</v>
      </c>
      <c r="D65" s="329" t="str">
        <f>E64</f>
        <v>cessazione parziale delle attività</v>
      </c>
      <c r="E65" s="329" t="str">
        <f>F64</f>
        <v>ripresa dopo cessazione parziale</v>
      </c>
      <c r="F65" s="327" t="s">
        <v>285</v>
      </c>
      <c r="G65" s="327"/>
      <c r="H65" s="327"/>
    </row>
    <row r="66" spans="1:8" ht="12.75">
      <c r="A66" s="319" t="s">
        <v>24</v>
      </c>
      <c r="B66" s="329" t="str">
        <f>Translations!$B$1005</f>
        <v>Utenze private</v>
      </c>
      <c r="C66" s="329" t="str">
        <f>Translations!$B$1447</f>
        <v>Fase prima dell'avvio</v>
      </c>
      <c r="D66" s="327" t="s">
        <v>285</v>
      </c>
      <c r="H66" s="327"/>
    </row>
    <row r="67" spans="1:8" ht="12.75">
      <c r="A67" s="319" t="s">
        <v>38</v>
      </c>
      <c r="B67" s="329" t="str">
        <f>Translations!$B$1448</f>
        <v>Avvio del funzionamento normale (articolo 3, lettera n), delle CIM)</v>
      </c>
      <c r="C67" s="329" t="str">
        <f>Translations!$B$1449</f>
        <v>Avvio del funzionamento a seguito della modifica (articolo 3, lettera o), delle CIM)</v>
      </c>
      <c r="D67" s="327" t="s">
        <v>285</v>
      </c>
      <c r="H67" s="327"/>
    </row>
    <row r="68" spans="1:8" ht="12.75">
      <c r="A68" s="319" t="s">
        <v>327</v>
      </c>
      <c r="B68" s="329" t="str">
        <f>Translations!$B$1450</f>
        <v>I due livelli di attività più elevati registrati in periodi di 30 giorni</v>
      </c>
      <c r="C68" s="329" t="str">
        <f>Translations!$B$1451</f>
        <v>I due livelli di attività più elevati registrati in mesi civili</v>
      </c>
      <c r="D68" s="327" t="s">
        <v>285</v>
      </c>
      <c r="H68" s="327"/>
    </row>
    <row r="69" spans="1:8" ht="12.75">
      <c r="A69" s="87" t="s">
        <v>246</v>
      </c>
      <c r="B69" s="116" t="str">
        <f>Translations!B20</f>
        <v>Impianto rientrante nel sistema ETS</v>
      </c>
      <c r="C69" s="116" t="str">
        <f>Translations!B21</f>
        <v>Impianto non rientrante nel sistema ETS</v>
      </c>
      <c r="D69" s="116" t="str">
        <f>Translations!B22</f>
        <v>Impianto che produce acido nitrico</v>
      </c>
      <c r="E69" s="116" t="str">
        <f>Translations!B23</f>
        <v>Rete di distribuzione di calore</v>
      </c>
      <c r="F69" s="87"/>
      <c r="G69" s="87"/>
      <c r="H69" s="87"/>
    </row>
    <row r="70" spans="1:7" ht="12.75">
      <c r="A70" s="87" t="s">
        <v>247</v>
      </c>
      <c r="B70" s="116" t="str">
        <f>Translations!B24</f>
        <v>Calore misurabile</v>
      </c>
      <c r="C70" s="116" t="str">
        <f>Translations!B25</f>
        <v>Gas di scarico</v>
      </c>
      <c r="D70" s="116" t="str">
        <f>Translations!B26</f>
        <v>CO2 trasferito (CCS)</v>
      </c>
      <c r="E70" s="87"/>
      <c r="F70" s="87"/>
      <c r="G70" s="87"/>
    </row>
    <row r="71" spans="1:7" ht="12.75">
      <c r="A71" s="87" t="s">
        <v>211</v>
      </c>
      <c r="B71" s="116" t="str">
        <f>Translations!B27</f>
        <v>Calore</v>
      </c>
      <c r="C71" s="116" t="str">
        <f>Translations!B28</f>
        <v>Gas di scarico</v>
      </c>
      <c r="D71" s="116" t="s">
        <v>212</v>
      </c>
      <c r="E71" s="87"/>
      <c r="F71" s="87"/>
      <c r="G71" s="87"/>
    </row>
    <row r="72" spans="1:7" ht="12.75">
      <c r="A72" s="87" t="s">
        <v>210</v>
      </c>
      <c r="B72" s="4" t="str">
        <f>Translations!B29</f>
        <v>Importazione</v>
      </c>
      <c r="C72" s="4" t="str">
        <f>Translations!B30</f>
        <v>Esportazione</v>
      </c>
      <c r="D72" s="87"/>
      <c r="E72" s="87"/>
      <c r="F72" s="87"/>
      <c r="G72" s="87"/>
    </row>
    <row r="73" spans="1:7" ht="12.75">
      <c r="A73" s="87" t="s">
        <v>325</v>
      </c>
      <c r="B73" s="116" t="str">
        <f>Translations!$B$31</f>
        <v>All'interno dell'impianto</v>
      </c>
      <c r="C73" s="87"/>
      <c r="D73" s="87"/>
      <c r="E73" s="87"/>
      <c r="F73" s="87"/>
      <c r="G73" s="87"/>
    </row>
    <row r="74" spans="1:7" ht="12.75">
      <c r="A74" s="87" t="s">
        <v>326</v>
      </c>
      <c r="B74" s="116" t="str">
        <f>Translations!B32</f>
        <v>Produzione di merci</v>
      </c>
      <c r="C74" s="116" t="str">
        <f>Translations!B33</f>
        <v>energia meccanica</v>
      </c>
      <c r="D74" s="116" t="str">
        <f>Translations!B34</f>
        <v>riscaldamento</v>
      </c>
      <c r="E74" s="116" t="str">
        <f>Translations!B35</f>
        <v>raffreddamento</v>
      </c>
      <c r="F74" s="116" t="str">
        <f>Translations!B36</f>
        <v>sconosciuto</v>
      </c>
      <c r="G74" s="87"/>
    </row>
    <row r="75" spans="1:6" ht="12.75">
      <c r="A75" s="87" t="s">
        <v>209</v>
      </c>
      <c r="B75" s="116" t="str">
        <f>Translations!B37</f>
        <v>Produzione di merci</v>
      </c>
      <c r="C75" s="116" t="str">
        <f>Translations!B38</f>
        <v>energia meccanica</v>
      </c>
      <c r="D75" s="116" t="str">
        <f>Translations!B39</f>
        <v>riscaldamento</v>
      </c>
      <c r="E75" s="116" t="str">
        <f>Translations!B40</f>
        <v>raffreddamento</v>
      </c>
      <c r="F75" s="87"/>
    </row>
    <row r="76" spans="1:10" ht="12.75">
      <c r="A76" s="87" t="s">
        <v>82</v>
      </c>
      <c r="B76" s="4" t="str">
        <f>Translations!$B$469</f>
        <v>N2O</v>
      </c>
      <c r="C76" s="4" t="s">
        <v>84</v>
      </c>
      <c r="D76" s="116" t="str">
        <f>Translations!B41</f>
        <v>CO2 (gas di scarico corretto)</v>
      </c>
      <c r="E76" s="116" t="str">
        <f>Translations!B42</f>
        <v>riduzione di composti metallici</v>
      </c>
      <c r="F76" s="116" t="str">
        <f>Translations!B43</f>
        <v>eliminazione di impurità</v>
      </c>
      <c r="G76" s="116" t="str">
        <f>Translations!B44</f>
        <v>decomposizione di carbonati</v>
      </c>
      <c r="H76" s="116" t="str">
        <f>Translations!B45</f>
        <v>sintesi chimica</v>
      </c>
      <c r="I76" s="116" t="str">
        <f>Translations!B46</f>
        <v>materie contenenti carbonio</v>
      </c>
      <c r="J76" s="116" t="str">
        <f>Translations!B47</f>
        <v>riduzione di ossidi metallici o ossidi non metallici</v>
      </c>
    </row>
    <row r="77" spans="1:7" ht="12.75">
      <c r="A77" s="87" t="s">
        <v>268</v>
      </c>
      <c r="B77" s="4">
        <f>H304</f>
        <v>62.3</v>
      </c>
      <c r="C77" s="3"/>
      <c r="D77" s="87"/>
      <c r="E77" s="87"/>
      <c r="F77" s="87"/>
      <c r="G77" s="87"/>
    </row>
    <row r="78" spans="1:7" ht="12.75">
      <c r="A78" s="87" t="s">
        <v>269</v>
      </c>
      <c r="B78" s="4">
        <v>0.465</v>
      </c>
      <c r="C78" s="3"/>
      <c r="D78" s="87"/>
      <c r="E78" s="87"/>
      <c r="F78" s="87"/>
      <c r="G78" s="87"/>
    </row>
    <row r="79" spans="1:7" ht="12.75">
      <c r="A79" s="87" t="s">
        <v>78</v>
      </c>
      <c r="B79" s="4">
        <f>H306</f>
        <v>56.1</v>
      </c>
      <c r="C79" s="3"/>
      <c r="D79" s="87"/>
      <c r="E79" s="87"/>
      <c r="F79" s="87"/>
      <c r="G79" s="87"/>
    </row>
    <row r="80" spans="1:7" ht="12.75">
      <c r="A80" s="87" t="s">
        <v>356</v>
      </c>
      <c r="B80" s="4" t="str">
        <f>Translations!B48</f>
        <v>pertinente</v>
      </c>
      <c r="C80" s="3"/>
      <c r="D80" s="87"/>
      <c r="E80" s="87"/>
      <c r="F80" s="87"/>
      <c r="G80" s="87"/>
    </row>
    <row r="81" spans="1:7" ht="12.75">
      <c r="A81" s="87" t="s">
        <v>357</v>
      </c>
      <c r="B81" s="4" t="str">
        <f>Translations!B49</f>
        <v>non pertinente</v>
      </c>
      <c r="C81" s="3"/>
      <c r="D81" s="87"/>
      <c r="E81" s="87"/>
      <c r="F81" s="87"/>
      <c r="G81" s="87"/>
    </row>
    <row r="82" spans="1:7" ht="12.75">
      <c r="A82" s="87" t="s">
        <v>475</v>
      </c>
      <c r="B82" s="4" t="str">
        <f>EUconst_Relevant</f>
        <v>pertinente</v>
      </c>
      <c r="C82" s="4" t="str">
        <f>EUconst_NotRelevant</f>
        <v>non pertinente</v>
      </c>
      <c r="D82" s="87"/>
      <c r="E82" s="87"/>
      <c r="F82" s="87"/>
      <c r="G82" s="87"/>
    </row>
    <row r="83" spans="1:7" ht="12.75">
      <c r="A83" s="87" t="s">
        <v>476</v>
      </c>
      <c r="B83" s="4" t="str">
        <f>Translations!B50</f>
        <v>Rilocalizzazione di emissioni di carbonio</v>
      </c>
      <c r="C83" s="4" t="str">
        <f>Translations!B51</f>
        <v>non esposto a rilocalizzazione di emissioni di carbonio</v>
      </c>
      <c r="D83" s="87"/>
      <c r="E83" s="87"/>
      <c r="F83" s="87"/>
      <c r="G83" s="87"/>
    </row>
    <row r="84" spans="1:7" ht="12.75">
      <c r="A84" s="87" t="s">
        <v>444</v>
      </c>
      <c r="B84" s="4" t="str">
        <f>"1000Nm3"</f>
        <v>1000Nm3</v>
      </c>
      <c r="C84" s="3"/>
      <c r="D84" s="87"/>
      <c r="E84" s="87"/>
      <c r="F84" s="87"/>
      <c r="G84" s="87"/>
    </row>
    <row r="85" spans="1:7" ht="12.75">
      <c r="A85" s="87" t="s">
        <v>445</v>
      </c>
      <c r="B85" s="4" t="str">
        <f>EUconst_t</f>
        <v>t</v>
      </c>
      <c r="C85" s="4" t="str">
        <f>B84</f>
        <v>1000Nm3</v>
      </c>
      <c r="D85" s="87"/>
      <c r="E85" s="87"/>
      <c r="F85" s="87"/>
      <c r="G85" s="87"/>
    </row>
    <row r="86" spans="1:7" ht="12.75">
      <c r="A86" s="87" t="s">
        <v>446</v>
      </c>
      <c r="B86" s="4" t="str">
        <f>EUconst_GJpt</f>
        <v>GJ / t</v>
      </c>
      <c r="C86" s="4" t="s">
        <v>447</v>
      </c>
      <c r="D86" s="87"/>
      <c r="E86" s="87"/>
      <c r="F86" s="87"/>
      <c r="G86" s="87"/>
    </row>
    <row r="87" spans="1:8" ht="12.75">
      <c r="A87" s="87" t="s">
        <v>242</v>
      </c>
      <c r="B87" s="4" t="str">
        <f>EUconst_tCO2pTJ</f>
        <v>t CO2 / TJ</v>
      </c>
      <c r="C87" s="4" t="str">
        <f>B88</f>
        <v>t CO2/1000Nm3</v>
      </c>
      <c r="D87" s="116" t="str">
        <f>EUconst_tCO2pt</f>
        <v>t CO2 / t</v>
      </c>
      <c r="G87" s="87"/>
      <c r="H87" s="87"/>
    </row>
    <row r="88" spans="1:8" ht="12.75">
      <c r="A88" s="87" t="s">
        <v>316</v>
      </c>
      <c r="B88" s="4" t="str">
        <f>EUconst_tCO2&amp;"/1000Nm3"</f>
        <v>t CO2/1000Nm3</v>
      </c>
      <c r="C88" s="4"/>
      <c r="D88" s="116"/>
      <c r="G88" s="87"/>
      <c r="H88" s="87"/>
    </row>
    <row r="89" spans="1:7" ht="12.75">
      <c r="A89" s="87" t="s">
        <v>448</v>
      </c>
      <c r="B89" s="4" t="str">
        <f>EUconst_GJ&amp;" / "&amp;EUconst_Unit</f>
        <v>GJ / Unità</v>
      </c>
      <c r="C89" s="3"/>
      <c r="D89" s="87"/>
      <c r="E89" s="87"/>
      <c r="F89" s="87"/>
      <c r="G89" s="87"/>
    </row>
    <row r="90" spans="1:7" ht="12.75">
      <c r="A90" s="87" t="s">
        <v>61</v>
      </c>
      <c r="B90" s="4" t="str">
        <f>"MNm3/"&amp;EUconst_Year</f>
        <v>MNm3/anno</v>
      </c>
      <c r="C90" s="3"/>
      <c r="D90" s="87"/>
      <c r="E90" s="87"/>
      <c r="F90" s="87"/>
      <c r="G90" s="87"/>
    </row>
    <row r="91" spans="1:7" ht="12.75">
      <c r="A91" s="87" t="s">
        <v>510</v>
      </c>
      <c r="B91" s="318" t="s">
        <v>538</v>
      </c>
      <c r="C91" s="3"/>
      <c r="D91" s="87"/>
      <c r="E91" s="87"/>
      <c r="F91" s="87"/>
      <c r="G91" s="87"/>
    </row>
    <row r="92" spans="1:7" ht="12.75">
      <c r="A92" s="87" t="s">
        <v>333</v>
      </c>
      <c r="B92" s="4" t="str">
        <f>Translations!$B$52</f>
        <v>quote</v>
      </c>
      <c r="C92" s="3"/>
      <c r="D92" s="87"/>
      <c r="E92" s="87"/>
      <c r="F92" s="87"/>
      <c r="G92" s="87"/>
    </row>
    <row r="93" spans="1:6" ht="12.75">
      <c r="A93" s="87" t="s">
        <v>243</v>
      </c>
      <c r="B93" s="4" t="str">
        <f>Translations!$B$1011</f>
        <v>Il gestore di quest'impianto conferma che l'impianto non può beneficiare dell'assegnazione gratuita di quote ai sensi dell'articolo 10 bis della direttiva sul sistema di scambio di emissioni.</v>
      </c>
      <c r="C93" s="87"/>
      <c r="D93" s="87"/>
      <c r="E93" s="87"/>
      <c r="F93" s="87"/>
    </row>
    <row r="94" spans="1:6" ht="12.75">
      <c r="A94" s="87" t="s">
        <v>244</v>
      </c>
      <c r="B94" s="4" t="str">
        <f>Translations!$B$1012</f>
        <v>Il gestore di questo impianto conferma che è stata trasmessa una richiesta per la modifica del quantitativo di quote a titolo gratuito ai sensi dell'articolo 10 bis della direttiva sul sistema di scambio di emissioni.</v>
      </c>
      <c r="C94" s="87"/>
      <c r="D94" s="87"/>
      <c r="E94" s="87"/>
      <c r="F94" s="87"/>
    </row>
    <row r="95" spans="1:6" ht="12.75">
      <c r="A95" s="87" t="s">
        <v>288</v>
      </c>
      <c r="B95" s="4" t="str">
        <f>Translations!B53</f>
        <v>Il gestore di questo impianto conferma che questa comunicazione può essere utilizzata dall'autorità competente e dalla Commissione europea.</v>
      </c>
      <c r="C95" s="87"/>
      <c r="D95" s="87"/>
      <c r="E95" s="87"/>
      <c r="F95" s="87"/>
    </row>
    <row r="96" spans="1:6" ht="12.75">
      <c r="A96" s="319" t="s">
        <v>234</v>
      </c>
      <c r="B96" s="318" t="str">
        <f>Translations!$B$1452</f>
        <v>Il gestore di questo impianto conferma che l'impianto ha cessato le proprie attività.</v>
      </c>
      <c r="C96" s="317" t="s">
        <v>285</v>
      </c>
      <c r="D96" s="87"/>
      <c r="E96" s="87"/>
      <c r="F96" s="87"/>
    </row>
    <row r="97" spans="1:7" ht="12.75">
      <c r="A97" s="87" t="s">
        <v>46</v>
      </c>
      <c r="B97" s="4" t="s">
        <v>43</v>
      </c>
      <c r="C97" s="3"/>
      <c r="D97" s="87"/>
      <c r="E97" s="87"/>
      <c r="F97" s="87"/>
      <c r="G97" s="87"/>
    </row>
    <row r="98" spans="1:7" ht="12.75">
      <c r="A98" s="87" t="s">
        <v>47</v>
      </c>
      <c r="B98" s="4" t="s">
        <v>44</v>
      </c>
      <c r="C98" s="3"/>
      <c r="D98" s="87"/>
      <c r="E98" s="87"/>
      <c r="F98" s="87"/>
      <c r="G98" s="87"/>
    </row>
    <row r="99" spans="1:7" ht="12.75">
      <c r="A99" s="87" t="s">
        <v>48</v>
      </c>
      <c r="B99" s="4" t="s">
        <v>45</v>
      </c>
      <c r="C99" s="3"/>
      <c r="D99" s="87"/>
      <c r="E99" s="87"/>
      <c r="F99" s="87"/>
      <c r="G99" s="87"/>
    </row>
    <row r="100" spans="1:7" ht="12.75">
      <c r="A100" s="87" t="s">
        <v>49</v>
      </c>
      <c r="B100" s="4" t="s">
        <v>51</v>
      </c>
      <c r="C100" s="3"/>
      <c r="D100" s="87"/>
      <c r="E100" s="87"/>
      <c r="F100" s="87"/>
      <c r="G100" s="87"/>
    </row>
    <row r="101" spans="1:7" ht="12.75">
      <c r="A101" s="87" t="s">
        <v>50</v>
      </c>
      <c r="B101" s="4" t="s">
        <v>52</v>
      </c>
      <c r="C101" s="3"/>
      <c r="D101" s="87"/>
      <c r="E101" s="87"/>
      <c r="F101" s="87"/>
      <c r="G101" s="87"/>
    </row>
    <row r="102" spans="1:7" ht="12.75">
      <c r="A102" s="319" t="s">
        <v>1</v>
      </c>
      <c r="B102" s="318" t="s">
        <v>2</v>
      </c>
      <c r="C102" s="317" t="s">
        <v>285</v>
      </c>
      <c r="D102" s="87"/>
      <c r="E102" s="87"/>
      <c r="F102" s="87"/>
      <c r="G102" s="87"/>
    </row>
    <row r="103" spans="1:7" ht="12.75">
      <c r="A103" s="319" t="s">
        <v>92</v>
      </c>
      <c r="B103" s="318" t="s">
        <v>93</v>
      </c>
      <c r="C103" s="317" t="s">
        <v>285</v>
      </c>
      <c r="D103" s="87"/>
      <c r="E103" s="87"/>
      <c r="F103" s="87"/>
      <c r="G103" s="87"/>
    </row>
    <row r="104" spans="1:7" ht="12.75">
      <c r="A104" s="319" t="s">
        <v>7</v>
      </c>
      <c r="B104" s="318" t="s">
        <v>8</v>
      </c>
      <c r="C104" s="317" t="s">
        <v>285</v>
      </c>
      <c r="D104" s="87"/>
      <c r="E104" s="87"/>
      <c r="F104" s="87"/>
      <c r="G104" s="87"/>
    </row>
    <row r="105" spans="1:7" ht="12.75">
      <c r="A105" s="319" t="s">
        <v>281</v>
      </c>
      <c r="B105" s="318" t="s">
        <v>280</v>
      </c>
      <c r="C105" s="317" t="s">
        <v>285</v>
      </c>
      <c r="D105" s="87"/>
      <c r="E105" s="87"/>
      <c r="F105" s="87"/>
      <c r="G105" s="87"/>
    </row>
    <row r="106" spans="1:7" ht="12.75">
      <c r="A106" s="319" t="s">
        <v>36</v>
      </c>
      <c r="B106" s="318" t="s">
        <v>37</v>
      </c>
      <c r="C106" s="317" t="s">
        <v>285</v>
      </c>
      <c r="D106" s="87"/>
      <c r="E106" s="87"/>
      <c r="F106" s="87"/>
      <c r="G106" s="87"/>
    </row>
    <row r="107" spans="1:7" ht="12.75">
      <c r="A107" s="319" t="s">
        <v>213</v>
      </c>
      <c r="B107" s="318" t="s">
        <v>215</v>
      </c>
      <c r="C107" s="317" t="s">
        <v>285</v>
      </c>
      <c r="D107" s="87"/>
      <c r="E107" s="87"/>
      <c r="F107" s="87"/>
      <c r="G107" s="87"/>
    </row>
    <row r="108" spans="1:7" ht="12.75">
      <c r="A108" s="319" t="s">
        <v>214</v>
      </c>
      <c r="B108" s="318" t="s">
        <v>216</v>
      </c>
      <c r="C108" s="317" t="s">
        <v>285</v>
      </c>
      <c r="D108" s="87"/>
      <c r="E108" s="87"/>
      <c r="F108" s="87"/>
      <c r="G108" s="87"/>
    </row>
    <row r="109" spans="1:7" ht="12.75">
      <c r="A109" s="319" t="s">
        <v>276</v>
      </c>
      <c r="B109" s="318" t="s">
        <v>278</v>
      </c>
      <c r="C109" s="317" t="s">
        <v>285</v>
      </c>
      <c r="D109" s="87"/>
      <c r="E109" s="87"/>
      <c r="F109" s="87"/>
      <c r="G109" s="87"/>
    </row>
    <row r="110" spans="1:7" ht="12.75">
      <c r="A110" s="319" t="s">
        <v>297</v>
      </c>
      <c r="B110" s="318" t="s">
        <v>302</v>
      </c>
      <c r="C110" s="317" t="s">
        <v>285</v>
      </c>
      <c r="D110" s="87"/>
      <c r="E110" s="87"/>
      <c r="F110" s="87"/>
      <c r="G110" s="87"/>
    </row>
    <row r="111" spans="1:7" ht="12.75">
      <c r="A111" s="319" t="s">
        <v>517</v>
      </c>
      <c r="B111" s="318" t="s">
        <v>518</v>
      </c>
      <c r="C111" s="317" t="s">
        <v>285</v>
      </c>
      <c r="D111" s="87"/>
      <c r="E111" s="87"/>
      <c r="F111" s="87"/>
      <c r="G111" s="87"/>
    </row>
    <row r="112" spans="1:7" ht="12.75">
      <c r="A112" s="319" t="s">
        <v>277</v>
      </c>
      <c r="B112" s="318" t="s">
        <v>279</v>
      </c>
      <c r="C112" s="317" t="s">
        <v>285</v>
      </c>
      <c r="D112" s="87"/>
      <c r="E112" s="87"/>
      <c r="F112" s="87"/>
      <c r="G112" s="87"/>
    </row>
    <row r="113" spans="1:7" ht="12.75">
      <c r="A113" s="319" t="s">
        <v>20</v>
      </c>
      <c r="B113" s="318" t="s">
        <v>21</v>
      </c>
      <c r="C113" s="317" t="s">
        <v>285</v>
      </c>
      <c r="D113" s="87"/>
      <c r="E113" s="87"/>
      <c r="F113" s="87"/>
      <c r="G113" s="87"/>
    </row>
    <row r="114" spans="1:7" ht="12.75">
      <c r="A114" s="319" t="s">
        <v>22</v>
      </c>
      <c r="B114" s="318" t="s">
        <v>23</v>
      </c>
      <c r="C114" s="317" t="s">
        <v>285</v>
      </c>
      <c r="D114" s="87"/>
      <c r="E114" s="87"/>
      <c r="F114" s="87"/>
      <c r="G114" s="87"/>
    </row>
    <row r="115" spans="1:7" ht="12.75">
      <c r="A115" s="319" t="s">
        <v>27</v>
      </c>
      <c r="B115" s="318" t="s">
        <v>28</v>
      </c>
      <c r="C115" s="317" t="s">
        <v>285</v>
      </c>
      <c r="D115" s="87"/>
      <c r="E115" s="87"/>
      <c r="F115" s="87"/>
      <c r="G115" s="87"/>
    </row>
    <row r="116" spans="1:7" ht="12.75">
      <c r="A116" s="319" t="s">
        <v>417</v>
      </c>
      <c r="B116" s="318" t="s">
        <v>418</v>
      </c>
      <c r="C116" s="317" t="s">
        <v>285</v>
      </c>
      <c r="D116" s="87"/>
      <c r="E116" s="87"/>
      <c r="F116" s="87"/>
      <c r="G116" s="87"/>
    </row>
    <row r="117" spans="1:7" ht="12.75">
      <c r="A117" s="319" t="s">
        <v>283</v>
      </c>
      <c r="B117" s="318" t="s">
        <v>284</v>
      </c>
      <c r="C117" s="317" t="s">
        <v>285</v>
      </c>
      <c r="D117" s="87"/>
      <c r="E117" s="87"/>
      <c r="F117" s="87"/>
      <c r="G117" s="87"/>
    </row>
    <row r="118" spans="1:7" ht="12.75">
      <c r="A118" s="319" t="s">
        <v>275</v>
      </c>
      <c r="B118" s="318" t="s">
        <v>274</v>
      </c>
      <c r="C118" s="317" t="s">
        <v>285</v>
      </c>
      <c r="D118" s="87"/>
      <c r="E118" s="87"/>
      <c r="F118" s="87"/>
      <c r="G118" s="87"/>
    </row>
    <row r="119" spans="1:7" ht="12.75">
      <c r="A119" s="319" t="s">
        <v>12</v>
      </c>
      <c r="B119" s="318" t="s">
        <v>13</v>
      </c>
      <c r="C119" s="317" t="s">
        <v>285</v>
      </c>
      <c r="D119" s="87"/>
      <c r="E119" s="87"/>
      <c r="F119" s="87"/>
      <c r="G119" s="87"/>
    </row>
    <row r="120" spans="1:7" ht="12.75">
      <c r="A120" s="319" t="s">
        <v>18</v>
      </c>
      <c r="B120" s="318" t="s">
        <v>19</v>
      </c>
      <c r="C120" s="317" t="s">
        <v>285</v>
      </c>
      <c r="D120" s="87"/>
      <c r="E120" s="87"/>
      <c r="F120" s="87"/>
      <c r="G120" s="87"/>
    </row>
    <row r="121" spans="1:7" ht="12.75">
      <c r="A121" s="319" t="s">
        <v>108</v>
      </c>
      <c r="B121" s="318" t="str">
        <f>Translations!$B$1453</f>
        <v>Criterio soddisfatto</v>
      </c>
      <c r="C121" s="317"/>
      <c r="D121" s="87"/>
      <c r="E121" s="87"/>
      <c r="F121" s="87"/>
      <c r="G121" s="87"/>
    </row>
    <row r="122" spans="1:7" ht="12.75">
      <c r="A122" s="87" t="s">
        <v>223</v>
      </c>
      <c r="B122" s="4" t="s">
        <v>224</v>
      </c>
      <c r="C122" s="3"/>
      <c r="D122" s="87"/>
      <c r="E122" s="87"/>
      <c r="F122" s="87"/>
      <c r="G122" s="87"/>
    </row>
    <row r="123" spans="1:7" ht="12.75">
      <c r="A123" s="87" t="s">
        <v>261</v>
      </c>
      <c r="B123" s="4" t="s">
        <v>436</v>
      </c>
      <c r="C123" s="3"/>
      <c r="D123" s="87"/>
      <c r="E123" s="87"/>
      <c r="F123" s="87"/>
      <c r="G123" s="87"/>
    </row>
    <row r="124" spans="1:7" ht="12.75">
      <c r="A124" s="319" t="s">
        <v>225</v>
      </c>
      <c r="B124" s="4" t="s">
        <v>226</v>
      </c>
      <c r="C124" s="3"/>
      <c r="D124" s="87"/>
      <c r="E124" s="87"/>
      <c r="F124" s="87"/>
      <c r="G124" s="87"/>
    </row>
    <row r="125" spans="1:7" ht="12.75">
      <c r="A125" s="319" t="s">
        <v>4</v>
      </c>
      <c r="B125" s="318" t="s">
        <v>5</v>
      </c>
      <c r="C125" s="317" t="s">
        <v>285</v>
      </c>
      <c r="D125" s="87"/>
      <c r="E125" s="87"/>
      <c r="F125" s="87"/>
      <c r="G125" s="87"/>
    </row>
    <row r="126" spans="1:7" ht="12.75">
      <c r="A126" s="87" t="s">
        <v>541</v>
      </c>
      <c r="B126" s="4" t="s">
        <v>540</v>
      </c>
      <c r="C126" s="3"/>
      <c r="D126" s="87"/>
      <c r="E126" s="87"/>
      <c r="F126" s="87"/>
      <c r="G126" s="87"/>
    </row>
    <row r="127" spans="1:7" ht="12.75">
      <c r="A127" s="87" t="s">
        <v>112</v>
      </c>
      <c r="B127" s="4" t="s">
        <v>113</v>
      </c>
      <c r="C127" s="3"/>
      <c r="D127" s="87"/>
      <c r="E127" s="87"/>
      <c r="F127" s="87"/>
      <c r="G127" s="87"/>
    </row>
    <row r="128" spans="1:7" ht="12.75">
      <c r="A128" s="87" t="s">
        <v>114</v>
      </c>
      <c r="B128" s="4" t="s">
        <v>115</v>
      </c>
      <c r="C128" s="3"/>
      <c r="D128" s="87"/>
      <c r="E128" s="87"/>
      <c r="F128" s="87"/>
      <c r="G128" s="87"/>
    </row>
    <row r="129" spans="1:7" ht="12.75">
      <c r="A129" s="87" t="s">
        <v>116</v>
      </c>
      <c r="B129" s="4" t="s">
        <v>117</v>
      </c>
      <c r="C129" s="3"/>
      <c r="D129" s="87"/>
      <c r="E129" s="87"/>
      <c r="F129" s="87"/>
      <c r="G129" s="87"/>
    </row>
    <row r="130" spans="1:7" ht="12.75">
      <c r="A130" s="87" t="s">
        <v>204</v>
      </c>
      <c r="B130" s="4" t="s">
        <v>202</v>
      </c>
      <c r="C130" s="3"/>
      <c r="D130" s="87"/>
      <c r="E130" s="87"/>
      <c r="F130" s="87"/>
      <c r="G130" s="87"/>
    </row>
    <row r="131" spans="1:7" ht="12.75">
      <c r="A131" s="87" t="s">
        <v>205</v>
      </c>
      <c r="B131" s="4" t="s">
        <v>203</v>
      </c>
      <c r="C131" s="3"/>
      <c r="D131" s="87"/>
      <c r="E131" s="87"/>
      <c r="F131" s="87"/>
      <c r="G131" s="87"/>
    </row>
    <row r="132" spans="1:7" ht="12.75">
      <c r="A132" s="87" t="s">
        <v>354</v>
      </c>
      <c r="B132" s="4" t="s">
        <v>355</v>
      </c>
      <c r="C132" s="3"/>
      <c r="D132" s="87"/>
      <c r="E132" s="87"/>
      <c r="F132" s="87"/>
      <c r="G132" s="87"/>
    </row>
    <row r="133" spans="1:7" ht="12.75">
      <c r="A133" s="87" t="s">
        <v>254</v>
      </c>
      <c r="B133" s="4" t="s">
        <v>253</v>
      </c>
      <c r="C133" s="3"/>
      <c r="D133" s="87"/>
      <c r="E133" s="87"/>
      <c r="F133" s="87"/>
      <c r="G133" s="87"/>
    </row>
    <row r="134" spans="1:7" ht="12.75">
      <c r="A134" s="87" t="s">
        <v>449</v>
      </c>
      <c r="B134" s="4" t="s">
        <v>450</v>
      </c>
      <c r="C134" s="3"/>
      <c r="D134" s="87"/>
      <c r="E134" s="87"/>
      <c r="F134" s="87"/>
      <c r="G134" s="87"/>
    </row>
    <row r="135" spans="1:7" ht="12.75">
      <c r="A135" s="87" t="s">
        <v>482</v>
      </c>
      <c r="B135" s="4" t="s">
        <v>260</v>
      </c>
      <c r="C135" s="3"/>
      <c r="D135" s="87"/>
      <c r="E135" s="87"/>
      <c r="F135" s="87"/>
      <c r="G135" s="87"/>
    </row>
    <row r="136" spans="1:7" ht="12.75">
      <c r="A136" s="87" t="s">
        <v>255</v>
      </c>
      <c r="B136" s="4" t="s">
        <v>256</v>
      </c>
      <c r="C136" s="3"/>
      <c r="D136" s="87"/>
      <c r="E136" s="87"/>
      <c r="F136" s="87"/>
      <c r="G136" s="87"/>
    </row>
    <row r="137" spans="1:7" ht="12.75">
      <c r="A137" s="87" t="s">
        <v>257</v>
      </c>
      <c r="B137" s="4" t="s">
        <v>258</v>
      </c>
      <c r="C137" s="3"/>
      <c r="D137" s="87"/>
      <c r="E137" s="87"/>
      <c r="F137" s="87"/>
      <c r="G137" s="87"/>
    </row>
    <row r="138" spans="1:7" ht="12.75">
      <c r="A138" s="87" t="s">
        <v>101</v>
      </c>
      <c r="B138" s="4" t="s">
        <v>102</v>
      </c>
      <c r="C138" s="3"/>
      <c r="D138" s="87"/>
      <c r="E138" s="87"/>
      <c r="F138" s="87"/>
      <c r="G138" s="87"/>
    </row>
    <row r="139" spans="1:7" ht="12.75">
      <c r="A139" s="87" t="s">
        <v>432</v>
      </c>
      <c r="B139" s="4" t="s">
        <v>433</v>
      </c>
      <c r="C139" s="3"/>
      <c r="D139" s="87"/>
      <c r="E139" s="87"/>
      <c r="F139" s="87"/>
      <c r="G139" s="87"/>
    </row>
    <row r="140" spans="1:7" ht="12.75">
      <c r="A140" s="87" t="s">
        <v>206</v>
      </c>
      <c r="B140" s="4" t="s">
        <v>207</v>
      </c>
      <c r="C140" s="3"/>
      <c r="D140" s="87"/>
      <c r="E140" s="87"/>
      <c r="F140" s="87"/>
      <c r="G140" s="87"/>
    </row>
    <row r="141" spans="1:7" ht="12.75">
      <c r="A141" s="87" t="s">
        <v>103</v>
      </c>
      <c r="B141" s="4" t="s">
        <v>104</v>
      </c>
      <c r="C141" s="3"/>
      <c r="D141" s="87"/>
      <c r="E141" s="87"/>
      <c r="F141" s="87"/>
      <c r="G141" s="87"/>
    </row>
    <row r="142" spans="1:7" ht="12.75">
      <c r="A142" s="87" t="s">
        <v>241</v>
      </c>
      <c r="B142" s="4" t="str">
        <f>Translations!B54</f>
        <v>Metodo A = metodo "slope” (della pendenza)</v>
      </c>
      <c r="C142" s="4" t="str">
        <f>Translations!B55</f>
        <v>Metodo B = metodo “overvoltage” (della sovratensione)</v>
      </c>
      <c r="D142" s="87"/>
      <c r="E142" s="87"/>
      <c r="F142" s="87"/>
      <c r="G142" s="87"/>
    </row>
    <row r="143" spans="1:7" ht="12.75">
      <c r="A143" s="87" t="s">
        <v>485</v>
      </c>
      <c r="B143" s="4" t="str">
        <f>Translations!B56</f>
        <v>Dati di riferimento</v>
      </c>
      <c r="C143" s="4" t="str">
        <f>Translations!B57</f>
        <v>Frazione del livello storico di attività (HAL) (G.I.2.k)</v>
      </c>
      <c r="D143" s="87"/>
      <c r="E143" s="87"/>
      <c r="F143" s="87"/>
      <c r="G143" s="87"/>
    </row>
    <row r="144" spans="1:7" ht="12.75">
      <c r="A144" s="87" t="s">
        <v>353</v>
      </c>
      <c r="B144" s="4" t="str">
        <f>Translations!B58</f>
        <v>incompleto!</v>
      </c>
      <c r="C144" s="3"/>
      <c r="D144" s="87"/>
      <c r="E144" s="87"/>
      <c r="F144" s="87"/>
      <c r="G144" s="87"/>
    </row>
    <row r="145" spans="1:7" ht="12.75">
      <c r="A145" s="87" t="s">
        <v>42</v>
      </c>
      <c r="B145" s="4" t="str">
        <f>Translations!B59</f>
        <v>negativo!</v>
      </c>
      <c r="C145" s="314" t="s">
        <v>457</v>
      </c>
      <c r="D145" s="87"/>
      <c r="E145" s="87"/>
      <c r="F145" s="87"/>
      <c r="G145" s="87"/>
    </row>
    <row r="146" spans="1:7" ht="12.75">
      <c r="A146" s="87" t="s">
        <v>315</v>
      </c>
      <c r="B146" s="4" t="str">
        <f>Translations!B60</f>
        <v>incongruente!</v>
      </c>
      <c r="C146" s="3"/>
      <c r="D146" s="87"/>
      <c r="E146" s="87"/>
      <c r="F146" s="87"/>
      <c r="G146" s="87"/>
    </row>
    <row r="147" spans="1:2" ht="12.75">
      <c r="A147" s="82" t="s">
        <v>300</v>
      </c>
      <c r="B147" s="116" t="str">
        <f>Translations!B61</f>
        <v>O.K.</v>
      </c>
    </row>
    <row r="148" spans="1:2" ht="12.75">
      <c r="A148" s="82" t="s">
        <v>111</v>
      </c>
      <c r="B148" s="116" t="str">
        <f>Translations!B62</f>
        <v>Data mancante!</v>
      </c>
    </row>
    <row r="149" spans="1:3" ht="12.75">
      <c r="A149" s="82" t="s">
        <v>229</v>
      </c>
      <c r="B149" s="116" t="str">
        <f>Translations!B63</f>
        <v>Inserimento manuale!</v>
      </c>
      <c r="C149" s="314" t="s">
        <v>457</v>
      </c>
    </row>
    <row r="150" spans="1:2" ht="12.75">
      <c r="A150" s="82" t="s">
        <v>263</v>
      </c>
      <c r="B150" s="116" t="str">
        <f>Translations!B64</f>
        <v>Manca il dato HCUF!</v>
      </c>
    </row>
    <row r="151" spans="1:3" ht="12.75">
      <c r="A151" s="335" t="s">
        <v>451</v>
      </c>
      <c r="B151" s="329" t="str">
        <f>Translations!$B$1454</f>
        <v>Non è stato inserito il coefficiente RCUF</v>
      </c>
      <c r="C151" s="314" t="s">
        <v>285</v>
      </c>
    </row>
    <row r="152" spans="1:2" ht="12.75">
      <c r="A152" s="82" t="s">
        <v>483</v>
      </c>
      <c r="B152" s="116" t="str">
        <f>Translations!$B$1455</f>
        <v>0 &lt;= HCUF &lt;=1!</v>
      </c>
    </row>
    <row r="153" spans="1:2" ht="12.75">
      <c r="A153" s="82" t="s">
        <v>426</v>
      </c>
      <c r="B153" s="116" t="str">
        <f>Translations!$B$1456</f>
        <v>0 &lt;= RCUF &lt;=1!</v>
      </c>
    </row>
    <row r="154" spans="1:2" ht="12.75">
      <c r="A154" s="82" t="s">
        <v>228</v>
      </c>
      <c r="B154" s="116" t="str">
        <f>Translations!$B$1457</f>
        <v>0 &lt;= rapporto &lt;=1!</v>
      </c>
    </row>
    <row r="155" spans="1:2" ht="12.75">
      <c r="A155" s="82" t="s">
        <v>328</v>
      </c>
      <c r="B155" s="329" t="s">
        <v>317</v>
      </c>
    </row>
    <row r="156" spans="1:7" ht="12.75">
      <c r="A156" s="87" t="s">
        <v>542</v>
      </c>
      <c r="B156" s="4" t="str">
        <f>Translations!B65</f>
        <v>utenze private</v>
      </c>
      <c r="C156" s="3"/>
      <c r="D156" s="87"/>
      <c r="E156" s="87"/>
      <c r="F156" s="87"/>
      <c r="G156" s="87"/>
    </row>
    <row r="157" spans="1:7" ht="12.75">
      <c r="A157" s="87" t="s">
        <v>201</v>
      </c>
      <c r="B157" s="4" t="str">
        <f>Translations!B66</f>
        <v>calore misurabile non rientrante nel sistema ETS</v>
      </c>
      <c r="C157" s="3"/>
      <c r="D157" s="87"/>
      <c r="E157" s="87"/>
      <c r="F157" s="87"/>
      <c r="G157" s="87"/>
    </row>
    <row r="158" spans="1:32" ht="12.75">
      <c r="A158" s="87" t="s">
        <v>141</v>
      </c>
      <c r="B158" s="4" t="str">
        <f>Translations!B108</f>
        <v>Austria</v>
      </c>
      <c r="C158" s="4" t="str">
        <f>Translations!B109</f>
        <v>Belgio</v>
      </c>
      <c r="D158" s="116" t="str">
        <f>Translations!B110</f>
        <v>Bulgaria</v>
      </c>
      <c r="E158" s="116" t="str">
        <f>Translations!B1010</f>
        <v>Croazia</v>
      </c>
      <c r="F158" s="116" t="str">
        <f>Translations!B111</f>
        <v>Cipro</v>
      </c>
      <c r="G158" s="116" t="str">
        <f>Translations!B112</f>
        <v>Repubblica ceca</v>
      </c>
      <c r="H158" s="116" t="str">
        <f>Translations!B113</f>
        <v>Danimarca</v>
      </c>
      <c r="I158" s="116" t="str">
        <f>Translations!B114</f>
        <v>Estonia</v>
      </c>
      <c r="J158" s="116" t="str">
        <f>Translations!B115</f>
        <v>Finlandia</v>
      </c>
      <c r="K158" s="116" t="str">
        <f>Translations!B116</f>
        <v>Francia</v>
      </c>
      <c r="L158" s="116" t="str">
        <f>Translations!B117</f>
        <v>Germania</v>
      </c>
      <c r="M158" s="116" t="str">
        <f>Translations!B118</f>
        <v>Grecia</v>
      </c>
      <c r="N158" s="116" t="str">
        <f>Translations!B119</f>
        <v>Ungheria</v>
      </c>
      <c r="O158" s="116" t="str">
        <f>Translations!B120</f>
        <v>Islanda</v>
      </c>
      <c r="P158" s="116" t="str">
        <f>Translations!B121</f>
        <v>Irlanda</v>
      </c>
      <c r="Q158" s="116" t="str">
        <f>Translations!B122</f>
        <v>Italia</v>
      </c>
      <c r="R158" s="116" t="str">
        <f>Translations!B123</f>
        <v>Lettonia</v>
      </c>
      <c r="S158" s="116" t="str">
        <f>Translations!B124</f>
        <v>Liechtenstein</v>
      </c>
      <c r="T158" s="116" t="str">
        <f>Translations!B125</f>
        <v>Lituania</v>
      </c>
      <c r="U158" s="116" t="str">
        <f>Translations!B126</f>
        <v>Lussemburgo</v>
      </c>
      <c r="V158" s="116" t="str">
        <f>Translations!B127</f>
        <v>Malta</v>
      </c>
      <c r="W158" s="116" t="str">
        <f>Translations!B128</f>
        <v>Paesi Bassi</v>
      </c>
      <c r="X158" s="116" t="str">
        <f>Translations!B129</f>
        <v>Norvegia</v>
      </c>
      <c r="Y158" s="116" t="str">
        <f>Translations!B130</f>
        <v>Polonia</v>
      </c>
      <c r="Z158" s="116" t="str">
        <f>Translations!B131</f>
        <v>Portogallo</v>
      </c>
      <c r="AA158" s="116" t="str">
        <f>Translations!B132</f>
        <v>Romania</v>
      </c>
      <c r="AB158" s="116" t="str">
        <f>Translations!B133</f>
        <v>Slovacchia</v>
      </c>
      <c r="AC158" s="116" t="str">
        <f>Translations!B134</f>
        <v>Slovenia</v>
      </c>
      <c r="AD158" s="116" t="str">
        <f>Translations!B135</f>
        <v>Spagna</v>
      </c>
      <c r="AE158" s="116" t="str">
        <f>Translations!B136</f>
        <v>Svezia</v>
      </c>
      <c r="AF158" s="116" t="str">
        <f>Translations!B137</f>
        <v>Regno Unito</v>
      </c>
    </row>
    <row r="159" spans="1:32" ht="12.75">
      <c r="A159" s="87" t="s">
        <v>142</v>
      </c>
      <c r="B159" s="4" t="s">
        <v>383</v>
      </c>
      <c r="C159" s="4" t="s">
        <v>384</v>
      </c>
      <c r="D159" s="116" t="s">
        <v>385</v>
      </c>
      <c r="E159" s="329" t="s">
        <v>454</v>
      </c>
      <c r="F159" s="116" t="s">
        <v>386</v>
      </c>
      <c r="G159" s="116" t="s">
        <v>387</v>
      </c>
      <c r="H159" s="116" t="s">
        <v>388</v>
      </c>
      <c r="I159" s="116" t="s">
        <v>389</v>
      </c>
      <c r="J159" s="116" t="s">
        <v>390</v>
      </c>
      <c r="K159" s="116" t="s">
        <v>391</v>
      </c>
      <c r="L159" s="116" t="s">
        <v>392</v>
      </c>
      <c r="M159" s="116" t="s">
        <v>393</v>
      </c>
      <c r="N159" s="116" t="s">
        <v>394</v>
      </c>
      <c r="O159" s="116" t="s">
        <v>64</v>
      </c>
      <c r="P159" s="116" t="s">
        <v>395</v>
      </c>
      <c r="Q159" s="116" t="s">
        <v>396</v>
      </c>
      <c r="R159" s="116" t="s">
        <v>397</v>
      </c>
      <c r="S159" s="116" t="s">
        <v>65</v>
      </c>
      <c r="T159" s="116" t="s">
        <v>398</v>
      </c>
      <c r="U159" s="116" t="s">
        <v>399</v>
      </c>
      <c r="V159" s="116" t="s">
        <v>400</v>
      </c>
      <c r="W159" s="116" t="s">
        <v>401</v>
      </c>
      <c r="X159" s="116" t="s">
        <v>66</v>
      </c>
      <c r="Y159" s="116" t="s">
        <v>402</v>
      </c>
      <c r="Z159" s="116" t="s">
        <v>403</v>
      </c>
      <c r="AA159" s="116" t="s">
        <v>404</v>
      </c>
      <c r="AB159" s="116" t="s">
        <v>405</v>
      </c>
      <c r="AC159" s="116" t="s">
        <v>406</v>
      </c>
      <c r="AD159" s="116" t="s">
        <v>407</v>
      </c>
      <c r="AE159" s="116" t="s">
        <v>295</v>
      </c>
      <c r="AF159" s="116" t="s">
        <v>296</v>
      </c>
    </row>
    <row r="160" spans="1:7" ht="12.75">
      <c r="A160" s="87" t="s">
        <v>443</v>
      </c>
      <c r="B160" s="4" t="str">
        <f>Translations!B67</f>
        <v>Strumento semplice per il calore (E.II.1)</v>
      </c>
      <c r="C160" s="3"/>
      <c r="D160" s="87"/>
      <c r="E160" s="87"/>
      <c r="F160" s="87"/>
      <c r="G160" s="87"/>
    </row>
    <row r="161" spans="1:7" ht="12.75">
      <c r="A161" s="87" t="s">
        <v>437</v>
      </c>
      <c r="B161" s="4" t="str">
        <f>Translations!B68</f>
        <v>Strumento complesso per il calore (E.II.2)</v>
      </c>
      <c r="C161" s="3"/>
      <c r="D161" s="87"/>
      <c r="E161" s="87"/>
      <c r="F161" s="87"/>
      <c r="G161" s="87"/>
    </row>
    <row r="162" spans="1:7" ht="12.75">
      <c r="A162" s="87" t="s">
        <v>438</v>
      </c>
      <c r="B162" s="4" t="str">
        <f>Translations!B69</f>
        <v>Strumento semplice per il calore (E.II.1)</v>
      </c>
      <c r="C162" s="4" t="str">
        <f>EUconst_HeatToolComplex</f>
        <v>Strumento complesso per il calore (E.II.2)</v>
      </c>
      <c r="D162" s="87"/>
      <c r="E162" s="87"/>
      <c r="F162" s="87"/>
      <c r="G162" s="87"/>
    </row>
    <row r="163" spans="1:7" ht="12.75">
      <c r="A163" s="319" t="s">
        <v>273</v>
      </c>
      <c r="B163" s="318" t="str">
        <f>Translations!$B$1458</f>
        <v>Modifica più recente</v>
      </c>
      <c r="C163" s="314" t="s">
        <v>285</v>
      </c>
      <c r="D163" s="87"/>
      <c r="E163" s="87"/>
      <c r="F163" s="87"/>
      <c r="G163" s="87"/>
    </row>
    <row r="164" spans="1:7" ht="12.75">
      <c r="A164" s="87" t="s">
        <v>135</v>
      </c>
      <c r="B164" s="4" t="str">
        <f>Translations!B70</f>
        <v>sperimentale</v>
      </c>
      <c r="C164" s="3"/>
      <c r="D164" s="87"/>
      <c r="E164" s="87"/>
      <c r="F164" s="87"/>
      <c r="G164" s="87"/>
    </row>
    <row r="165" spans="1:7" ht="12.75">
      <c r="A165" s="87" t="s">
        <v>136</v>
      </c>
      <c r="B165" s="4" t="str">
        <f>Translations!B71</f>
        <v>lettera (a)</v>
      </c>
      <c r="C165" s="3"/>
      <c r="D165" s="318"/>
      <c r="E165" s="87"/>
      <c r="F165" s="87"/>
      <c r="G165" s="87"/>
    </row>
    <row r="166" spans="1:8" ht="12.75">
      <c r="A166" s="319" t="s">
        <v>35</v>
      </c>
      <c r="B166" s="318" t="str">
        <f>Translations!$B$1459</f>
        <v>NIM 2005-2008</v>
      </c>
      <c r="C166" s="318" t="str">
        <f>Translations!$B$1460</f>
        <v>NIM verifica sperimentale</v>
      </c>
      <c r="D166" s="318" t="str">
        <f>Translations!$B$1461</f>
        <v>NIM articolo 9, paragrafo 6</v>
      </c>
      <c r="E166" s="318" t="str">
        <f>Translations!$B$1462</f>
        <v>NIM articolo 9, paragrafo 9</v>
      </c>
      <c r="F166" s="318" t="str">
        <f>Translations!$B$1149</f>
        <v>Ultima modifica articolo 17, paragrafo 4.</v>
      </c>
      <c r="G166" s="318" t="str">
        <f>Translations!$B$1136</f>
        <v>Nuovo sottoimpianto</v>
      </c>
      <c r="H166" s="314" t="s">
        <v>285</v>
      </c>
    </row>
    <row r="167" spans="1:7" ht="12.75" customHeight="1">
      <c r="A167" s="319" t="s">
        <v>233</v>
      </c>
      <c r="B167" s="318" t="str">
        <f>Translations!$B$1463</f>
        <v>a) L'autorizzazione ad emettere gas a effetto serra, l'autorizzazione in vigore a norma della direttiva 2008/1/CE o qualsiasi altra autorizzazione ambientale pertinente sono scadute</v>
      </c>
      <c r="C167" s="318" t="str">
        <f>Translations!$B$1464</f>
        <v>b) Una delle autorizzazioni di cui alla lettera a) è stata ritirata</v>
      </c>
      <c r="D167" s="318" t="str">
        <f>Translations!$B$1465</f>
        <v>c) Il funzionamento dell'impianto è impossibile per ragioni tecniche</v>
      </c>
      <c r="E167" s="318" t="str">
        <f>Translations!$B$1466</f>
        <v>d) L'impianto non è in funzione, ma lo era precedentemente e per ragioni tecniche la ripresa delle attività è impossibile.</v>
      </c>
      <c r="F167" s="318" t="str">
        <f>Translations!$B$1467</f>
        <v>e) L'impianto non è in funzione, ma lo era precedentemente e il gestore non può dimostrare che l'impianto riprenderà le sue attività entro i 6 mesi successivi alla cessazione delle attività.</v>
      </c>
      <c r="G167" s="314" t="s">
        <v>285</v>
      </c>
    </row>
    <row r="168" spans="1:7" ht="12.75">
      <c r="A168" s="319" t="s">
        <v>230</v>
      </c>
      <c r="B168" s="318" t="str">
        <f>Translations!$B$1468</f>
        <v>Nessuna cessazione parziale pertinente per l'anno indicato</v>
      </c>
      <c r="C168" s="314" t="s">
        <v>285</v>
      </c>
      <c r="D168" s="87"/>
      <c r="E168" s="87"/>
      <c r="F168" s="87"/>
      <c r="G168" s="87"/>
    </row>
    <row r="169" spans="1:7" ht="12.75">
      <c r="A169" s="319" t="s">
        <v>286</v>
      </c>
      <c r="B169" s="318" t="str">
        <f>Translations!$B$1469</f>
        <v>ampliamento della capacità &lt; 10%</v>
      </c>
      <c r="C169" s="314" t="s">
        <v>285</v>
      </c>
      <c r="D169" s="87"/>
      <c r="E169" s="87"/>
      <c r="F169" s="87"/>
      <c r="G169" s="87"/>
    </row>
    <row r="170" spans="1:7" ht="12.75">
      <c r="A170" s="319" t="s">
        <v>91</v>
      </c>
      <c r="B170" s="318" t="str">
        <f>Translations!$B$1470</f>
        <v>riduzione della capacità &lt; 10%</v>
      </c>
      <c r="C170" s="314" t="s">
        <v>285</v>
      </c>
      <c r="D170" s="87"/>
      <c r="E170" s="87"/>
      <c r="F170" s="87"/>
      <c r="G170" s="87"/>
    </row>
    <row r="171" spans="1:7" ht="12.75">
      <c r="A171" s="319" t="s">
        <v>282</v>
      </c>
      <c r="B171" s="318" t="str">
        <f>Translations!$B$1471</f>
        <v>Soglia del 40% non raggiunta</v>
      </c>
      <c r="C171" s="314" t="s">
        <v>285</v>
      </c>
      <c r="D171" s="87"/>
      <c r="E171" s="87"/>
      <c r="F171" s="87"/>
      <c r="G171" s="87"/>
    </row>
    <row r="172" spans="1:7" ht="12.75">
      <c r="A172" s="319" t="s">
        <v>231</v>
      </c>
      <c r="B172" s="318" t="str">
        <f>Translations!$B$1472</f>
        <v>Solo 1 primo sottoimpianto!</v>
      </c>
      <c r="C172" s="314" t="s">
        <v>285</v>
      </c>
      <c r="D172" s="87"/>
      <c r="E172" s="87"/>
      <c r="F172" s="87"/>
      <c r="G172" s="87"/>
    </row>
    <row r="173" spans="1:7" ht="12.75">
      <c r="A173" s="319" t="s">
        <v>232</v>
      </c>
      <c r="B173" s="318" t="str">
        <f>Translations!$B$1473</f>
        <v>Scegliere almeno un nuovo sottoimpianto !</v>
      </c>
      <c r="C173" s="314" t="s">
        <v>285</v>
      </c>
      <c r="D173" s="87"/>
      <c r="E173" s="87"/>
      <c r="F173" s="87"/>
      <c r="G173" s="87"/>
    </row>
    <row r="174" spans="1:7" ht="12.75">
      <c r="A174" s="319" t="s">
        <v>425</v>
      </c>
      <c r="B174" s="318" t="str">
        <f>Translations!$B$1474</f>
        <v>Scegliere il tipo di modifiche per la presente richiesta!</v>
      </c>
      <c r="C174" s="314" t="s">
        <v>285</v>
      </c>
      <c r="D174" s="87"/>
      <c r="E174" s="87"/>
      <c r="F174" s="87"/>
      <c r="G174" s="87"/>
    </row>
    <row r="175" spans="1:7" ht="12.75">
      <c r="A175" s="87" t="s">
        <v>134</v>
      </c>
      <c r="B175" s="318" t="str">
        <f>Translations!$B$1475</f>
        <v>È obbligatorio rispondere alle domande b) e d)!</v>
      </c>
      <c r="C175" s="3"/>
      <c r="D175" s="87"/>
      <c r="E175" s="87"/>
      <c r="F175" s="87"/>
      <c r="G175" s="87"/>
    </row>
    <row r="176" spans="1:7" ht="12.75">
      <c r="A176" s="87" t="s">
        <v>109</v>
      </c>
      <c r="B176" s="318" t="str">
        <f>Translations!$B$1476</f>
        <v>È obbligatorio rispondere alla domanda e) al punto A.II.2!</v>
      </c>
      <c r="C176" s="3"/>
      <c r="D176" s="87"/>
      <c r="E176" s="87"/>
      <c r="F176" s="87"/>
      <c r="G176" s="87"/>
    </row>
    <row r="177" spans="1:7" ht="12.75">
      <c r="A177" s="87" t="s">
        <v>133</v>
      </c>
      <c r="B177" s="318" t="str">
        <f>Translations!B1595</f>
        <v>È obbligatorio rispondere alla domanda f) del punto A!</v>
      </c>
      <c r="C177" s="3"/>
      <c r="D177" s="87"/>
      <c r="E177" s="87"/>
      <c r="F177" s="87"/>
      <c r="G177" s="87"/>
    </row>
    <row r="178" spans="1:7" ht="12.75">
      <c r="A178" s="319" t="s">
        <v>303</v>
      </c>
      <c r="B178" s="318" t="str">
        <f>Translations!$B$1478</f>
        <v>Nessuna modifica sostanziale della capacità ai sensi dell'articolo 3, lettere i) e j), delle CIM!</v>
      </c>
      <c r="C178" s="314" t="s">
        <v>285</v>
      </c>
      <c r="D178" s="87"/>
      <c r="E178" s="87"/>
      <c r="F178" s="87"/>
      <c r="G178" s="87"/>
    </row>
    <row r="179" spans="1:7" ht="12.75">
      <c r="A179" s="319" t="s">
        <v>235</v>
      </c>
      <c r="B179" s="318" t="str">
        <f>Translations!$B$1479</f>
        <v>La voce e) non è applicabile nel caso degli impianti di riserva o di emergenza e degli impianti che funzionano in base a un calendario stagionale.</v>
      </c>
      <c r="C179" s="314" t="s">
        <v>285</v>
      </c>
      <c r="D179" s="87"/>
      <c r="E179" s="87"/>
      <c r="F179" s="87"/>
      <c r="G179" s="87"/>
    </row>
    <row r="180" spans="1:7" ht="12.75">
      <c r="A180" s="87" t="s">
        <v>137</v>
      </c>
      <c r="B180" s="4" t="str">
        <f>Translations!B72</f>
        <v>Il nome di almeno un sottoimpianto è stato inserito più di una volta. Correggere!</v>
      </c>
      <c r="C180" s="3"/>
      <c r="D180" s="87"/>
      <c r="E180" s="87"/>
      <c r="F180" s="87"/>
      <c r="G180" s="87"/>
    </row>
    <row r="181" spans="1:7" ht="12.75">
      <c r="A181" s="87" t="s">
        <v>138</v>
      </c>
      <c r="B181" s="4" t="str">
        <f>Translations!B73</f>
        <v>Selezionare almeno un sottoimpianto nelle sezioni III.1 o III.2!</v>
      </c>
      <c r="C181" s="3"/>
      <c r="D181" s="87"/>
      <c r="E181" s="87"/>
      <c r="F181" s="87"/>
      <c r="G181" s="87"/>
    </row>
    <row r="182" spans="1:7" ht="12.75">
      <c r="A182" s="87" t="s">
        <v>139</v>
      </c>
      <c r="B182" s="4" t="str">
        <f>Translations!B74</f>
        <v>Indicare per ogni sottoimpianto se è pertinente oppure no!</v>
      </c>
      <c r="C182" s="3"/>
      <c r="D182" s="87"/>
      <c r="E182" s="87"/>
      <c r="F182" s="87"/>
      <c r="G182" s="87"/>
    </row>
    <row r="183" spans="1:7" ht="12.75">
      <c r="A183" s="87" t="s">
        <v>419</v>
      </c>
      <c r="B183" s="4" t="str">
        <f>Translations!B75</f>
        <v>Inserire le informazioni alle precedenti lettere (b) e (c)!</v>
      </c>
      <c r="C183" s="3"/>
      <c r="D183" s="87"/>
      <c r="E183" s="87"/>
      <c r="F183" s="87"/>
      <c r="G183" s="87"/>
    </row>
    <row r="184" spans="1:7" ht="12.75">
      <c r="A184" s="87" t="s">
        <v>420</v>
      </c>
      <c r="B184" s="4" t="str">
        <f>Translations!B76</f>
        <v>Inserire dati dettagliati sul flusso di fonti iniziando con la successiva sezione II!</v>
      </c>
      <c r="C184" s="3"/>
      <c r="D184" s="87"/>
      <c r="E184" s="87"/>
      <c r="F184" s="87"/>
      <c r="G184" s="87"/>
    </row>
    <row r="185" spans="1:7" ht="12.75">
      <c r="A185" s="87" t="s">
        <v>421</v>
      </c>
      <c r="B185" s="4" t="str">
        <f>Translations!B77</f>
        <v>Procedere all'inserimento dei totali delle emissioni nella sezione D.I.2 del foglio "D_Emissions"!</v>
      </c>
      <c r="C185" s="3"/>
      <c r="D185" s="87"/>
      <c r="E185" s="87"/>
      <c r="F185" s="87"/>
      <c r="G185" s="87"/>
    </row>
    <row r="186" spans="1:7" ht="12.75">
      <c r="A186" s="87" t="s">
        <v>237</v>
      </c>
      <c r="B186" s="4" t="str">
        <f>Translations!B78</f>
        <v>Inserire anche i dati nella sezione E.II.4!</v>
      </c>
      <c r="C186" s="3"/>
      <c r="D186" s="87"/>
      <c r="E186" s="87"/>
      <c r="F186" s="87"/>
      <c r="G186" s="87"/>
    </row>
    <row r="187" spans="1:7" ht="12.75">
      <c r="A187" s="87" t="s">
        <v>236</v>
      </c>
      <c r="B187" s="4" t="str">
        <f>Translations!B79</f>
        <v>Inserire anche i dati nella sezione D.II.3.a.!</v>
      </c>
      <c r="C187" s="3"/>
      <c r="D187" s="87"/>
      <c r="E187" s="87"/>
      <c r="F187" s="87"/>
      <c r="G187" s="87"/>
    </row>
    <row r="188" spans="1:7" ht="12.75">
      <c r="A188" s="87" t="s">
        <v>310</v>
      </c>
      <c r="B188" s="4" t="str">
        <f>Translations!B80</f>
        <v>Istruzioni dettagliate per l'inserimento dei dati in questo strumento sono disponibili alla prima copia dello strumento. </v>
      </c>
      <c r="C188" s="3"/>
      <c r="D188" s="87"/>
      <c r="E188" s="87"/>
      <c r="F188" s="87"/>
      <c r="G188" s="87"/>
    </row>
    <row r="189" spans="1:7" ht="12.75">
      <c r="A189" s="87" t="s">
        <v>311</v>
      </c>
      <c r="B189" s="4" t="str">
        <f>Translations!B81</f>
        <v>Passare al foglio "F_ProductBM"!</v>
      </c>
      <c r="C189" s="3"/>
      <c r="D189" s="87"/>
      <c r="E189" s="87"/>
      <c r="F189" s="87"/>
      <c r="G189" s="87"/>
    </row>
    <row r="190" spans="1:7" ht="12.75">
      <c r="A190" s="87" t="s">
        <v>312</v>
      </c>
      <c r="B190" s="4" t="str">
        <f>Translations!B82</f>
        <v>Passare alla sezione E.II.2</v>
      </c>
      <c r="C190" s="3"/>
      <c r="D190" s="87"/>
      <c r="E190" s="87"/>
      <c r="F190" s="87"/>
      <c r="G190" s="87"/>
    </row>
    <row r="191" spans="1:7" ht="12.75">
      <c r="A191" s="87" t="s">
        <v>313</v>
      </c>
      <c r="B191" s="4" t="str">
        <f>Translations!B83</f>
        <v>Continuare con i punti successivi.</v>
      </c>
      <c r="C191" s="3"/>
      <c r="D191" s="87"/>
      <c r="E191" s="87"/>
      <c r="F191" s="87"/>
      <c r="G191" s="87"/>
    </row>
    <row r="192" spans="1:7" ht="12.75">
      <c r="A192" s="87" t="s">
        <v>239</v>
      </c>
      <c r="B192" s="4" t="str">
        <f>Translations!B84</f>
        <v>Usare il seguente strumento per l'intercambiabilità dell'elettricità.</v>
      </c>
      <c r="C192" s="3"/>
      <c r="D192" s="87"/>
      <c r="E192" s="87"/>
      <c r="F192" s="87"/>
      <c r="G192" s="87"/>
    </row>
    <row r="193" spans="1:7" ht="12.75">
      <c r="A193" s="87" t="s">
        <v>334</v>
      </c>
      <c r="B193" s="4" t="str">
        <f>Translations!B85</f>
        <v>Continuare con la successiva lettera (d).</v>
      </c>
      <c r="C193" s="3"/>
      <c r="D193" s="87"/>
      <c r="E193" s="87"/>
      <c r="F193" s="87"/>
      <c r="G193" s="87"/>
    </row>
    <row r="194" spans="1:7" ht="12.75">
      <c r="A194" s="87" t="s">
        <v>335</v>
      </c>
      <c r="B194" s="4" t="str">
        <f>Translations!B86</f>
        <v>Se non è pertinente per il proprio impianto, passare ai punti successivi.</v>
      </c>
      <c r="C194" s="3"/>
      <c r="D194" s="87"/>
      <c r="E194" s="87"/>
      <c r="F194" s="87"/>
      <c r="G194" s="87"/>
    </row>
    <row r="195" spans="1:7" ht="12.75">
      <c r="A195" s="87" t="s">
        <v>338</v>
      </c>
      <c r="B195" s="4" t="str">
        <f>Translations!B87</f>
        <v>Le date devono essere in ordine ascendente!</v>
      </c>
      <c r="C195" s="3"/>
      <c r="D195" s="87"/>
      <c r="E195" s="87"/>
      <c r="F195" s="87"/>
      <c r="G195" s="87"/>
    </row>
    <row r="196" spans="1:7" ht="12.75">
      <c r="A196" s="87" t="s">
        <v>339</v>
      </c>
      <c r="B196" s="4" t="str">
        <f>Translations!B88</f>
        <v>La data di inizio deve essere successiva al 30 giugno 2011!</v>
      </c>
      <c r="C196" s="3"/>
      <c r="D196" s="87"/>
      <c r="E196" s="87"/>
      <c r="F196" s="87"/>
      <c r="G196" s="87"/>
    </row>
    <row r="197" spans="1:7" ht="12.75">
      <c r="A197" s="87" t="s">
        <v>106</v>
      </c>
      <c r="B197" s="4" t="str">
        <f>Translations!B89</f>
        <v>Tutte le date devono essere successive al 30 giugno 2011!</v>
      </c>
      <c r="C197" s="3"/>
      <c r="D197" s="87"/>
      <c r="E197" s="87"/>
      <c r="F197" s="87"/>
      <c r="G197" s="87"/>
    </row>
    <row r="198" spans="1:7" ht="12.75">
      <c r="A198" s="87" t="s">
        <v>340</v>
      </c>
      <c r="B198" s="4" t="str">
        <f>Translations!B90</f>
        <v>Manca la data iniziale!</v>
      </c>
      <c r="C198" s="3"/>
      <c r="D198" s="87"/>
      <c r="E198" s="87"/>
      <c r="F198" s="87"/>
      <c r="G198" s="87"/>
    </row>
    <row r="199" spans="1:7" ht="12.75">
      <c r="A199" s="87" t="s">
        <v>410</v>
      </c>
      <c r="B199" s="318" t="str">
        <f>Translations!$B$1480</f>
        <v>Attività non specificata (A.I.3.a)!</v>
      </c>
      <c r="C199" s="3"/>
      <c r="D199" s="87"/>
      <c r="E199" s="87"/>
      <c r="F199" s="87"/>
      <c r="G199" s="87"/>
    </row>
    <row r="200" spans="1:7" ht="12.75">
      <c r="A200" s="87" t="s">
        <v>440</v>
      </c>
      <c r="B200" s="4" t="str">
        <f>Translations!B91</f>
        <v>Inserire i dati in questa sezione!</v>
      </c>
      <c r="C200" s="3"/>
      <c r="D200" s="87"/>
      <c r="E200" s="87"/>
      <c r="F200" s="87"/>
      <c r="G200" s="87"/>
    </row>
    <row r="201" spans="1:7" ht="12.75">
      <c r="A201" s="87" t="s">
        <v>107</v>
      </c>
      <c r="B201" s="318" t="str">
        <f>Translations!$B$336</f>
        <v>&lt;&lt;&lt; Cliccare qui per passare al foglio successivo &gt;&gt;&gt; </v>
      </c>
      <c r="C201" s="3"/>
      <c r="D201" s="87"/>
      <c r="E201" s="87"/>
      <c r="F201" s="87"/>
      <c r="G201" s="87"/>
    </row>
    <row r="202" spans="1:7" ht="12.75">
      <c r="A202" s="87" t="s">
        <v>441</v>
      </c>
      <c r="B202" s="4" t="str">
        <f>Translations!B92</f>
        <v>Passare al prossimo sottoimpianto!</v>
      </c>
      <c r="C202" s="3"/>
      <c r="D202" s="87"/>
      <c r="E202" s="87"/>
      <c r="F202" s="87"/>
      <c r="G202" s="87"/>
    </row>
    <row r="203" spans="1:7" ht="12.75">
      <c r="A203" s="87" t="s">
        <v>442</v>
      </c>
      <c r="B203" s="4" t="str">
        <f>Translations!B93</f>
        <v>Cliccare qui per ritornare alla pagina F_ProductBM</v>
      </c>
      <c r="C203" s="3"/>
      <c r="D203" s="87"/>
      <c r="E203" s="87"/>
      <c r="F203" s="87"/>
      <c r="G203" s="87"/>
    </row>
    <row r="204" spans="1:7" ht="12.75">
      <c r="A204" s="87" t="s">
        <v>486</v>
      </c>
      <c r="B204" s="4" t="str">
        <f>Translations!B94</f>
        <v>Continuare con l'inserimento dei dati alle lettere (c) e (d)!</v>
      </c>
      <c r="C204" s="3"/>
      <c r="D204" s="87"/>
      <c r="E204" s="87"/>
      <c r="F204" s="87"/>
      <c r="G204" s="87"/>
    </row>
    <row r="205" spans="1:7" ht="12.75">
      <c r="A205" s="87" t="s">
        <v>487</v>
      </c>
      <c r="B205" s="4" t="str">
        <f>Translations!B95</f>
        <v>Continuare con la lettera (e)!</v>
      </c>
      <c r="C205" s="3"/>
      <c r="D205" s="87"/>
      <c r="E205" s="87"/>
      <c r="F205" s="87"/>
      <c r="G205" s="87"/>
    </row>
    <row r="206" spans="1:7" ht="12.75">
      <c r="A206" s="87" t="s">
        <v>89</v>
      </c>
      <c r="B206" s="4" t="str">
        <f>Translations!B96</f>
        <v>Va applicato l'articolo 9, paragrafo 6, delle misure di attuazione comunitarie (CIM)!</v>
      </c>
      <c r="C206" s="3"/>
      <c r="D206" s="87"/>
      <c r="E206" s="87"/>
      <c r="F206" s="87"/>
      <c r="G206" s="87"/>
    </row>
    <row r="207" spans="1:7" ht="12.75">
      <c r="A207" s="319" t="s">
        <v>519</v>
      </c>
      <c r="B207" s="318" t="str">
        <f>Translations!$B$1321</f>
        <v>Quantitativo pertinente di pasta immesso sul mercato</v>
      </c>
      <c r="C207" s="3"/>
      <c r="D207" s="87"/>
      <c r="E207" s="87"/>
      <c r="F207" s="87"/>
      <c r="G207" s="87"/>
    </row>
    <row r="208" spans="1:7" ht="12.75">
      <c r="A208" s="319" t="s">
        <v>271</v>
      </c>
      <c r="B208" s="318" t="str">
        <f>Translations!$B$1322</f>
        <v>Quantitativo pertinente di pasta prodotto</v>
      </c>
      <c r="C208" s="3"/>
      <c r="D208" s="87"/>
      <c r="E208" s="87"/>
      <c r="F208" s="87"/>
      <c r="G208" s="87"/>
    </row>
    <row r="209" spans="1:7" ht="12.75">
      <c r="A209" s="319" t="s">
        <v>550</v>
      </c>
      <c r="B209" s="318" t="str">
        <f>Translations!$B$1496</f>
        <v>È obbligatorio rispondere alla domanda a) al punto A.I!</v>
      </c>
      <c r="C209" s="3"/>
      <c r="D209" s="87"/>
      <c r="E209" s="87"/>
      <c r="F209" s="87"/>
      <c r="G209" s="87"/>
    </row>
    <row r="210" spans="1:7" ht="12.75">
      <c r="A210" s="319" t="s">
        <v>551</v>
      </c>
      <c r="B210" s="318" t="str">
        <f>Translations!$B$1497</f>
        <v>L’operatore ha confermato che questa domanda riguarda esclusivamente modifiche dei limiti dell'impianto e  di autorizzazioni esistenti e ha inoltre confermato che non si sono verificati cambiamenti fisici.</v>
      </c>
      <c r="C210" s="3"/>
      <c r="D210" s="87"/>
      <c r="E210" s="87"/>
      <c r="F210" s="87"/>
      <c r="G210" s="87"/>
    </row>
    <row r="211" spans="1:7" ht="12.75">
      <c r="A211" s="319" t="s">
        <v>561</v>
      </c>
      <c r="B211" s="318" t="str">
        <f>Translations!B1585</f>
        <v>Fusione</v>
      </c>
      <c r="C211" s="363" t="str">
        <f>Translations!B1586</f>
        <v>Scissione</v>
      </c>
      <c r="D211" s="319" t="str">
        <f>Translations!B1587</f>
        <v>Trasferimento di parti</v>
      </c>
      <c r="E211" s="87"/>
      <c r="F211" s="87"/>
      <c r="G211" s="87"/>
    </row>
    <row r="212" spans="1:7" ht="12.75">
      <c r="A212" s="319" t="s">
        <v>564</v>
      </c>
      <c r="B212" s="318" t="str">
        <f>Translations!B1593</f>
        <v>La somma delle quote assegnate nella sezione III.1 e III.2 superano l'assegnazione iniziale prima della fusione o della scissione! </v>
      </c>
      <c r="C212" s="87"/>
      <c r="D212" s="87"/>
      <c r="E212" s="87"/>
      <c r="F212" s="87"/>
      <c r="G212" s="87"/>
    </row>
    <row r="213" spans="1:7" ht="12.75">
      <c r="A213" s="87"/>
      <c r="B213" s="87"/>
      <c r="C213" s="87"/>
      <c r="D213" s="87"/>
      <c r="E213" s="87"/>
      <c r="F213" s="87"/>
      <c r="G213" s="87"/>
    </row>
    <row r="214" s="118" customFormat="1" ht="12.75">
      <c r="A214" s="118" t="s">
        <v>298</v>
      </c>
    </row>
    <row r="215" spans="1:13" s="92" customFormat="1" ht="12.75">
      <c r="A215" s="119" t="s">
        <v>264</v>
      </c>
      <c r="B215" s="119" t="s">
        <v>531</v>
      </c>
      <c r="C215" s="119"/>
      <c r="D215" s="119"/>
      <c r="E215" s="119"/>
      <c r="F215" s="119"/>
      <c r="G215" s="119"/>
      <c r="H215" s="119"/>
      <c r="I215" s="119"/>
      <c r="J215" s="119"/>
      <c r="K215" s="119"/>
      <c r="L215" s="119"/>
      <c r="M215" s="119"/>
    </row>
    <row r="216" spans="1:4" s="89" customFormat="1" ht="12.75">
      <c r="A216" s="89">
        <v>1</v>
      </c>
      <c r="B216" s="119" t="str">
        <f>IF(LEN(Translations!B138)&gt;250,LEFT(Translations!B138,250),Translations!B138)</f>
        <v>Combustione di carburanti in impianti di potenza termica nominale totale superiore a 20 MW (tranne negli impianti per l'incenerimento di rifiuti pericolosi o urbani)</v>
      </c>
      <c r="D216" s="92"/>
    </row>
    <row r="217" spans="1:2" s="92" customFormat="1" ht="12.75">
      <c r="A217" s="92">
        <v>2</v>
      </c>
      <c r="B217" s="119" t="str">
        <f>IF(LEN(Translations!B139)&gt;250,LEFT(Translations!B139,250),Translations!B139)</f>
        <v>Raffinazione di petrolio </v>
      </c>
    </row>
    <row r="218" spans="1:2" s="92" customFormat="1" ht="12.75">
      <c r="A218" s="92">
        <v>3</v>
      </c>
      <c r="B218" s="119" t="str">
        <f>IF(LEN(Translations!B140)&gt;250,LEFT(Translations!B140,250),Translations!B140)</f>
        <v>Produzione di coke </v>
      </c>
    </row>
    <row r="219" spans="1:2" s="92" customFormat="1" ht="12.75">
      <c r="A219" s="92">
        <v>4</v>
      </c>
      <c r="B219" s="119" t="str">
        <f>IF(LEN(Translations!B141)&gt;250,LEFT(Translations!B141,250),Translations!B141)</f>
        <v>Arrostimento o sinterizzazione, compresa la pellettizzazione, di minerali metallici (tra cui i minerali solforati)</v>
      </c>
    </row>
    <row r="220" spans="1:2" s="92" customFormat="1" ht="12.75">
      <c r="A220" s="92">
        <v>5</v>
      </c>
      <c r="B220" s="119" t="str">
        <f>IF(LEN(Translations!B142)&gt;250,LEFT(Translations!B142,250),Translations!B142)</f>
        <v>Produzione di ghisa o acciaio (fusione primaria o secondaria), compresa la relativa colata continua di capacità superiore a 2,5 tonnellate all'ora</v>
      </c>
    </row>
    <row r="221" spans="1:2" s="92" customFormat="1" ht="12.75">
      <c r="A221" s="92">
        <v>6</v>
      </c>
      <c r="B221" s="119" t="str">
        <f>IF(LEN(Translations!B143)&gt;250,LEFT(Translations!B143,250),Translations!B143)</f>
        <v>Produzione o trasformazione di metalli ferrosi (incluse le ferro-leghe), ove siano in funzione unità di combustione di potenza termica nominale totale superiore a 20 MW. La trasformazione comprende, tra l'altro, laminatoi, riscaldatori, forni di rico</v>
      </c>
    </row>
    <row r="222" spans="1:2" s="92" customFormat="1" ht="12.75">
      <c r="A222" s="92">
        <v>7</v>
      </c>
      <c r="B222" s="119" t="str">
        <f>IF(LEN(Translations!B144)&gt;250,LEFT(Translations!B144,250),Translations!B144)</f>
        <v>Produzione di alluminio primario</v>
      </c>
    </row>
    <row r="223" spans="1:2" s="92" customFormat="1" ht="12.75">
      <c r="A223" s="92">
        <v>8</v>
      </c>
      <c r="B223" s="119" t="str">
        <f>IF(LEN(Translations!B145)&gt;250,LEFT(Translations!B145,250),Translations!B145)</f>
        <v>Produzione di alluminio secondario ove siano in funzione unità di combustione di potenza termica nominale totale superiore a 20 MW</v>
      </c>
    </row>
    <row r="224" spans="1:2" s="92" customFormat="1" ht="12.75">
      <c r="A224" s="92">
        <v>9</v>
      </c>
      <c r="B224" s="119" t="str">
        <f>IF(LEN(Translations!B146)&gt;250,LEFT(Translations!B146,250),Translations!B146)</f>
        <v>Produzione o trasformazione di metalli non ferrosi, compresa la fabbricazione di leghe, l'affinazione, la formatura in fonderia, ecc., ove siano in funzione unità di combustione di potenza termica nominale totale superiore a 20 MW (tra cui i combusti</v>
      </c>
    </row>
    <row r="225" spans="1:2" s="92" customFormat="1" ht="12.75">
      <c r="A225" s="92">
        <v>10</v>
      </c>
      <c r="B225" s="119" t="str">
        <f>IF(LEN(Translations!B147)&gt;250,LEFT(Translations!B147,250),Translations!B147)</f>
        <v>Produzione di clinker (cemento) in forni rotativi la cui capacità di produzione supera 500 tonnellate al giorno oppure in altri tipi di forni aventi una capacità di produzione di oltre 50 tonnellate al giorno</v>
      </c>
    </row>
    <row r="226" spans="1:2" s="92" customFormat="1" ht="12.75">
      <c r="A226" s="92">
        <v>11</v>
      </c>
      <c r="B226" s="119" t="str">
        <f>IF(LEN(Translations!B148)&gt;250,LEFT(Translations!B148,250),Translations!B148)</f>
        <v>Produzione di calce viva o calcinazione di dolomite o magnesite in forni rotativi con capacità di produzione superiore a 50 tonnellate al giorno</v>
      </c>
    </row>
    <row r="227" spans="1:2" s="92" customFormat="1" ht="12.75">
      <c r="A227" s="92">
        <v>12</v>
      </c>
      <c r="B227" s="119" t="str">
        <f>IF(LEN(Translations!B149)&gt;250,LEFT(Translations!B149,250),Translations!B149)</f>
        <v>Fabbricazione del vetro, tra cui le fibre di vetro, con capacità di fusione superiore a 20 tonnellate al giorno</v>
      </c>
    </row>
    <row r="228" spans="1:2" s="92" customFormat="1" ht="12.75">
      <c r="A228" s="92">
        <v>13</v>
      </c>
      <c r="B228" s="119" t="str">
        <f>IF(LEN(Translations!B150)&gt;250,LEFT(Translations!B150,250),Translations!B150)</f>
        <v>Fabbricazione di prodotti ceramici mediante cottura, in particolare tegole, mattoni, mattoni refrattari, piastrelle, gres, porcellane, con capacità di produzione superiore a 75 tonnellate al giorno</v>
      </c>
    </row>
    <row r="229" spans="1:2" s="92" customFormat="1" ht="12.75">
      <c r="A229" s="92">
        <v>14</v>
      </c>
      <c r="B229" s="119" t="str">
        <f>IF(LEN(Translations!B151)&gt;250,LEFT(Translations!B151,250),Translations!B151)</f>
        <v>Fabbricazione di materiale isolante in lana minerale a base di vetro, roccia o scorie con capacità di fusione superiore a 20 tonnellate al giorno</v>
      </c>
    </row>
    <row r="230" spans="1:2" s="92" customFormat="1" ht="12.75">
      <c r="A230" s="92">
        <v>15</v>
      </c>
      <c r="B230" s="119" t="str">
        <f>IF(LEN(Translations!B152)&gt;250,LEFT(Translations!B152,250),Translations!B152)</f>
        <v>Essiccazione o calcinazione del gesso o produzione di pannelli di cartongesso e altri prodotti a base di gesso, ove siano in funzione unità di combustione di potenza termica nominale totale superiore a 20 MW</v>
      </c>
    </row>
    <row r="231" spans="1:2" s="92" customFormat="1" ht="12.75">
      <c r="A231" s="92">
        <v>16</v>
      </c>
      <c r="B231" s="119" t="str">
        <f>IF(LEN(Translations!B153)&gt;250,LEFT(Translations!B153,250),Translations!B153)</f>
        <v>Fabbricazione di pasta per carta a partire dal legno o da altre materie fibrose</v>
      </c>
    </row>
    <row r="232" spans="1:2" s="92" customFormat="1" ht="12.75">
      <c r="A232" s="92">
        <v>17</v>
      </c>
      <c r="B232" s="119" t="str">
        <f>IF(LEN(Translations!B154)&gt;250,LEFT(Translations!B154,250),Translations!B154)</f>
        <v>Fabbricazione di carta o cartoni con capacità di produzione superiore a 20 tonnellate al giorno</v>
      </c>
    </row>
    <row r="233" spans="1:2" s="92" customFormat="1" ht="12.75">
      <c r="A233" s="92">
        <v>18</v>
      </c>
      <c r="B233" s="119" t="str">
        <f>IF(LEN(Translations!B155)&gt;250,LEFT(Translations!B155,250),Translations!B155)</f>
        <v>Produzione di nerofumo, compresa la carbonizzazione di sostanze organiche quali oli, bitumi, residui del cracking e della distillazione, ove siano in funzione unità di combustione di potenza termica nominale totale superiore a 20 MW</v>
      </c>
    </row>
    <row r="234" spans="1:2" s="92" customFormat="1" ht="12.75">
      <c r="A234" s="92">
        <v>19</v>
      </c>
      <c r="B234" s="119" t="str">
        <f>IF(LEN(Translations!B156)&gt;250,LEFT(Translations!B156,250),Translations!B156)</f>
        <v>Produzione di acido nitrico</v>
      </c>
    </row>
    <row r="235" spans="1:2" s="92" customFormat="1" ht="12.75">
      <c r="A235" s="92">
        <v>20</v>
      </c>
      <c r="B235" s="119" t="str">
        <f>IF(LEN(Translations!B157)&gt;250,LEFT(Translations!B157,250),Translations!B157)</f>
        <v>Produzione di acido adipico</v>
      </c>
    </row>
    <row r="236" spans="1:2" s="92" customFormat="1" ht="12.75">
      <c r="A236" s="92">
        <v>21</v>
      </c>
      <c r="B236" s="119" t="str">
        <f>IF(LEN(Translations!B158)&gt;250,LEFT(Translations!B158,250),Translations!B158)</f>
        <v>Produzione di gliossale e acido gliossilico</v>
      </c>
    </row>
    <row r="237" spans="1:2" s="92" customFormat="1" ht="12.75">
      <c r="A237" s="92">
        <v>22</v>
      </c>
      <c r="B237" s="119" t="str">
        <f>IF(LEN(Translations!B159)&gt;250,LEFT(Translations!B159,250),Translations!B159)</f>
        <v>Produzione di ammoniaca</v>
      </c>
    </row>
    <row r="238" spans="1:2" s="92" customFormat="1" ht="12.75">
      <c r="A238" s="92">
        <v>23</v>
      </c>
      <c r="B238" s="119" t="str">
        <f>IF(LEN(Translations!B160)&gt;250,LEFT(Translations!B160,250),Translations!B160)</f>
        <v>Produzione di prodotti chimici organici su larga scala mediante cracking, reforming, ossidazione parziale o totale o processi simili, con una capacità di produzione superiore a 100 tonnellate al giorno</v>
      </c>
    </row>
    <row r="239" spans="1:2" s="92" customFormat="1" ht="12.75">
      <c r="A239" s="92">
        <v>24</v>
      </c>
      <c r="B239" s="119" t="str">
        <f>IF(LEN(Translations!B161)&gt;250,LEFT(Translations!B161,250),Translations!B161)</f>
        <v>Produzione di idrogeno (H2) e di gas di sintesi mediante reforming o mediante ossidazione parziale, con una capacità di produzione superiore a 25 tonnellate al giorno</v>
      </c>
    </row>
    <row r="240" spans="1:2" s="92" customFormat="1" ht="12.75">
      <c r="A240" s="92">
        <v>25</v>
      </c>
      <c r="B240" s="119" t="str">
        <f>IF(LEN(Translations!B162)&gt;250,LEFT(Translations!B162,250),Translations!B162)</f>
        <v>Produzione di carbonato di sodio (Na2CO3) e di bicarbonato di sodio (NaHCO3)</v>
      </c>
    </row>
    <row r="241" spans="1:2" s="92" customFormat="1" ht="12.75">
      <c r="A241" s="92">
        <v>26</v>
      </c>
      <c r="B241" s="119" t="str">
        <f>IF(LEN(Translations!B163)&gt;250,LEFT(Translations!B163,250),Translations!B163)</f>
        <v>Cattura dei gas a effetto serra provenienti da impianti disciplinati dalla presente direttiva ai fini del trasporto e dello stoccaggio geologico in un sito di stoccaggio autorizzato a norma della direttiva 2009/31/CE</v>
      </c>
    </row>
    <row r="242" spans="1:2" s="92" customFormat="1" ht="12.75">
      <c r="A242" s="92">
        <v>27</v>
      </c>
      <c r="B242" s="119" t="str">
        <f>IF(LEN(Translations!B164)&gt;250,LEFT(Translations!B164,250),Translations!B164)</f>
        <v>Trasporto dei gas a effetto serra mediante condutture ai fini dello stoccaggio geologico in un sito di stoccaggio autorizzato a norma della direttiva 2009/31/CE</v>
      </c>
    </row>
    <row r="243" spans="1:2" s="92" customFormat="1" ht="12.75">
      <c r="A243" s="92">
        <v>28</v>
      </c>
      <c r="B243" s="119" t="str">
        <f>IF(LEN(Translations!B165)&gt;250,LEFT(Translations!B165,250),Translations!B165)</f>
        <v>Stoccaggio geologico dei gas a effetto serra in un sito di stoccaggio autorizzato a norma della direttiva 2009/31/CE</v>
      </c>
    </row>
    <row r="244" s="92" customFormat="1" ht="12.75">
      <c r="A244" s="120"/>
    </row>
    <row r="245" s="92" customFormat="1" ht="12.75"/>
    <row r="246" s="92" customFormat="1" ht="12.75"/>
    <row r="247" s="118" customFormat="1" ht="12.75">
      <c r="A247" s="118" t="s">
        <v>530</v>
      </c>
    </row>
    <row r="248" spans="1:13" s="98" customFormat="1" ht="63.75">
      <c r="A248" s="121" t="s">
        <v>531</v>
      </c>
      <c r="B248" s="121" t="s">
        <v>264</v>
      </c>
      <c r="C248" s="121" t="s">
        <v>532</v>
      </c>
      <c r="D248" s="121" t="s">
        <v>533</v>
      </c>
      <c r="E248" s="121" t="s">
        <v>534</v>
      </c>
      <c r="F248" s="121" t="s">
        <v>132</v>
      </c>
      <c r="G248" s="121" t="s">
        <v>535</v>
      </c>
      <c r="H248" s="121" t="s">
        <v>536</v>
      </c>
      <c r="I248" s="121" t="s">
        <v>537</v>
      </c>
      <c r="J248" s="121" t="s">
        <v>270</v>
      </c>
      <c r="K248" s="122" t="s">
        <v>238</v>
      </c>
      <c r="L248" s="387" t="s">
        <v>94</v>
      </c>
      <c r="M248" s="326" t="s">
        <v>285</v>
      </c>
    </row>
    <row r="249" spans="1:15" ht="12.75">
      <c r="A249" s="120" t="str">
        <f>VLOOKUP(B249,$A$216:$B$243,2,0)</f>
        <v>Raffinazione di petrolio </v>
      </c>
      <c r="B249" s="82">
        <v>2</v>
      </c>
      <c r="C249" s="82">
        <v>1</v>
      </c>
      <c r="D249" s="85" t="str">
        <f aca="true" t="shared" si="0" ref="D249:D280">CONCATENATE(TEXT(B249,"00"),".",TEXT(C249,"00"))</f>
        <v>02.01</v>
      </c>
      <c r="E249" s="116" t="str">
        <f>Translations!B166</f>
        <v>Prodotti di raffineria</v>
      </c>
      <c r="F249" s="116" t="s">
        <v>538</v>
      </c>
      <c r="G249" s="116" t="b">
        <v>1</v>
      </c>
      <c r="H249" s="123">
        <v>0.0295</v>
      </c>
      <c r="I249" s="116" t="b">
        <v>1</v>
      </c>
      <c r="J249" s="113" t="str">
        <f>Translations!$B$97</f>
        <v>Usare lo strumento "CWT" nel foglio "SpecialBM" per calcolare i livelli di attività storica.</v>
      </c>
      <c r="K249" s="124" t="str">
        <f>"#JUMP_H_I"</f>
        <v>#JUMP_H_I</v>
      </c>
      <c r="L249" s="386">
        <v>0.902</v>
      </c>
      <c r="N249" s="515"/>
      <c r="O249" s="515"/>
    </row>
    <row r="250" spans="1:15" ht="12.75">
      <c r="A250" s="120" t="str">
        <f aca="true" t="shared" si="1" ref="A250:A300">VLOOKUP(B250,$A$216:$B$243,2,0)</f>
        <v>Produzione di coke </v>
      </c>
      <c r="B250" s="82">
        <v>3</v>
      </c>
      <c r="C250" s="82">
        <f>C249+1</f>
        <v>2</v>
      </c>
      <c r="D250" s="85" t="str">
        <f t="shared" si="0"/>
        <v>03.02</v>
      </c>
      <c r="E250" s="116" t="str">
        <f>Translations!B167</f>
        <v>Coke</v>
      </c>
      <c r="F250" s="116" t="str">
        <f aca="true" t="shared" si="2" ref="F250:F274">EUconst_Tons</f>
        <v>tonnellate</v>
      </c>
      <c r="G250" s="116" t="b">
        <v>1</v>
      </c>
      <c r="H250" s="123">
        <v>0.286</v>
      </c>
      <c r="I250" s="116" t="b">
        <v>0</v>
      </c>
      <c r="J250" s="113">
        <f>""</f>
      </c>
      <c r="K250" s="124">
        <f>""</f>
      </c>
      <c r="L250" s="386">
        <v>0.96</v>
      </c>
      <c r="N250" s="515"/>
      <c r="O250" s="515"/>
    </row>
    <row r="251" spans="1:15" ht="12.75">
      <c r="A251" s="120" t="str">
        <f t="shared" si="1"/>
        <v>Arrostimento o sinterizzazione, compresa la pellettizzazione, di minerali metallici (tra cui i minerali solforati)</v>
      </c>
      <c r="B251" s="82">
        <v>4</v>
      </c>
      <c r="C251" s="82">
        <f aca="true" t="shared" si="3" ref="C251:C300">C250+1</f>
        <v>3</v>
      </c>
      <c r="D251" s="85" t="str">
        <f t="shared" si="0"/>
        <v>04.03</v>
      </c>
      <c r="E251" s="116" t="str">
        <f>Translations!B168</f>
        <v>Minerale sinterizzato</v>
      </c>
      <c r="F251" s="116" t="str">
        <f t="shared" si="2"/>
        <v>tonnellate</v>
      </c>
      <c r="G251" s="116" t="b">
        <v>1</v>
      </c>
      <c r="H251" s="123">
        <v>0.171</v>
      </c>
      <c r="I251" s="116" t="b">
        <v>0</v>
      </c>
      <c r="J251" s="113">
        <f>""</f>
      </c>
      <c r="K251" s="124">
        <f>""</f>
      </c>
      <c r="L251" s="386">
        <v>0.886</v>
      </c>
      <c r="N251" s="515"/>
      <c r="O251" s="515"/>
    </row>
    <row r="252" spans="1:15" ht="12.75">
      <c r="A252" s="120" t="str">
        <f t="shared" si="1"/>
        <v>Produzione di ghisa o acciaio (fusione primaria o secondaria), compresa la relativa colata continua di capacità superiore a 2,5 tonnellate all'ora</v>
      </c>
      <c r="B252" s="82">
        <v>5</v>
      </c>
      <c r="C252" s="82">
        <f t="shared" si="3"/>
        <v>4</v>
      </c>
      <c r="D252" s="85" t="str">
        <f t="shared" si="0"/>
        <v>05.04</v>
      </c>
      <c r="E252" s="116" t="str">
        <f>Translations!B169</f>
        <v>Ghisa allo stato fuso</v>
      </c>
      <c r="F252" s="116" t="str">
        <f t="shared" si="2"/>
        <v>tonnellate</v>
      </c>
      <c r="G252" s="116" t="b">
        <v>1</v>
      </c>
      <c r="H252" s="123">
        <v>1.328</v>
      </c>
      <c r="I252" s="116" t="b">
        <v>0</v>
      </c>
      <c r="J252" s="113">
        <f>""</f>
      </c>
      <c r="K252" s="124">
        <f>""</f>
      </c>
      <c r="L252" s="386">
        <v>0.894</v>
      </c>
      <c r="N252" s="515"/>
      <c r="O252" s="515"/>
    </row>
    <row r="253" spans="1:15" ht="12.75">
      <c r="A253" s="120" t="str">
        <f t="shared" si="1"/>
        <v>Produzione di ghisa o acciaio (fusione primaria o secondaria), compresa la relativa colata continua di capacità superiore a 2,5 tonnellate all'ora</v>
      </c>
      <c r="B253" s="82">
        <v>5</v>
      </c>
      <c r="C253" s="82">
        <f t="shared" si="3"/>
        <v>5</v>
      </c>
      <c r="D253" s="85" t="str">
        <f t="shared" si="0"/>
        <v>05.05</v>
      </c>
      <c r="E253" s="116" t="str">
        <f>Translations!B170</f>
        <v>Acciaio al carbonio da forni elettrici ad arco (EAF)</v>
      </c>
      <c r="F253" s="116" t="str">
        <f t="shared" si="2"/>
        <v>tonnellate</v>
      </c>
      <c r="G253" s="116" t="b">
        <v>1</v>
      </c>
      <c r="H253" s="125">
        <v>0.283</v>
      </c>
      <c r="I253" s="116" t="b">
        <v>1</v>
      </c>
      <c r="J253" s="113">
        <f>""</f>
      </c>
      <c r="K253" s="124">
        <f>""</f>
      </c>
      <c r="L253" s="386">
        <v>0.798</v>
      </c>
      <c r="N253" s="515"/>
      <c r="O253" s="515"/>
    </row>
    <row r="254" spans="1:15" ht="12.75">
      <c r="A254" s="120" t="str">
        <f t="shared" si="1"/>
        <v>Produzione di ghisa o acciaio (fusione primaria o secondaria), compresa la relativa colata continua di capacità superiore a 2,5 tonnellate all'ora</v>
      </c>
      <c r="B254" s="82">
        <v>5</v>
      </c>
      <c r="C254" s="82">
        <f t="shared" si="3"/>
        <v>6</v>
      </c>
      <c r="D254" s="85" t="str">
        <f t="shared" si="0"/>
        <v>05.06</v>
      </c>
      <c r="E254" s="116" t="str">
        <f>Translations!B171</f>
        <v>Acciaio alto legato da EAF</v>
      </c>
      <c r="F254" s="116" t="str">
        <f t="shared" si="2"/>
        <v>tonnellate</v>
      </c>
      <c r="G254" s="116" t="b">
        <v>1</v>
      </c>
      <c r="H254" s="125">
        <v>0.352</v>
      </c>
      <c r="I254" s="116" t="b">
        <v>1</v>
      </c>
      <c r="J254" s="113">
        <f>""</f>
      </c>
      <c r="K254" s="124">
        <f>""</f>
      </c>
      <c r="L254" s="386">
        <v>0.802</v>
      </c>
      <c r="N254" s="515"/>
      <c r="O254" s="515"/>
    </row>
    <row r="255" spans="1:15" ht="12.75">
      <c r="A255" s="120" t="str">
        <f t="shared" si="1"/>
        <v>Produzione o trasformazione di metalli ferrosi (incluse le ferro-leghe), ove siano in funzione unità di combustione di potenza termica nominale totale superiore a 20 MW. La trasformazione comprende, tra l'altro, laminatoi, riscaldatori, forni di rico</v>
      </c>
      <c r="B255" s="82">
        <v>6</v>
      </c>
      <c r="C255" s="82">
        <f t="shared" si="3"/>
        <v>7</v>
      </c>
      <c r="D255" s="85" t="str">
        <f t="shared" si="0"/>
        <v>06.07</v>
      </c>
      <c r="E255" s="116" t="str">
        <f>Translations!B172</f>
        <v>Getto di ghisa</v>
      </c>
      <c r="F255" s="116" t="str">
        <f t="shared" si="2"/>
        <v>tonnellate</v>
      </c>
      <c r="G255" s="116" t="b">
        <v>1</v>
      </c>
      <c r="H255" s="123">
        <v>0.325</v>
      </c>
      <c r="I255" s="116" t="b">
        <v>1</v>
      </c>
      <c r="J255" s="113">
        <f>""</f>
      </c>
      <c r="K255" s="124">
        <f>""</f>
      </c>
      <c r="L255" s="386">
        <v>0.772</v>
      </c>
      <c r="N255" s="515"/>
      <c r="O255" s="515"/>
    </row>
    <row r="256" spans="1:15" ht="12.75">
      <c r="A256" s="120" t="str">
        <f t="shared" si="1"/>
        <v>Produzione di alluminio primario</v>
      </c>
      <c r="B256" s="82">
        <v>7</v>
      </c>
      <c r="C256" s="82">
        <f t="shared" si="3"/>
        <v>8</v>
      </c>
      <c r="D256" s="85" t="str">
        <f t="shared" si="0"/>
        <v>07.08</v>
      </c>
      <c r="E256" s="116" t="str">
        <f>Translations!B173</f>
        <v>Anodo precotto</v>
      </c>
      <c r="F256" s="116" t="str">
        <f t="shared" si="2"/>
        <v>tonnellate</v>
      </c>
      <c r="G256" s="116" t="b">
        <v>1</v>
      </c>
      <c r="H256" s="123">
        <v>0.324</v>
      </c>
      <c r="I256" s="116" t="b">
        <v>0</v>
      </c>
      <c r="J256" s="113">
        <f>""</f>
      </c>
      <c r="K256" s="124">
        <f>""</f>
      </c>
      <c r="L256" s="386">
        <v>0.928</v>
      </c>
      <c r="N256" s="515"/>
      <c r="O256" s="515"/>
    </row>
    <row r="257" spans="1:15" ht="12.75">
      <c r="A257" s="120" t="str">
        <f t="shared" si="1"/>
        <v>Produzione di alluminio primario</v>
      </c>
      <c r="B257" s="82">
        <v>7</v>
      </c>
      <c r="C257" s="82">
        <f t="shared" si="3"/>
        <v>9</v>
      </c>
      <c r="D257" s="85" t="str">
        <f t="shared" si="0"/>
        <v>07.09</v>
      </c>
      <c r="E257" s="116" t="str">
        <f>Translations!B174</f>
        <v>Alluminio [primario]</v>
      </c>
      <c r="F257" s="116" t="str">
        <f t="shared" si="2"/>
        <v>tonnellate</v>
      </c>
      <c r="G257" s="116" t="b">
        <v>1</v>
      </c>
      <c r="H257" s="123">
        <v>1.514</v>
      </c>
      <c r="I257" s="116" t="b">
        <v>0</v>
      </c>
      <c r="J257" s="113">
        <f>""</f>
      </c>
      <c r="K257" s="124">
        <f>""</f>
      </c>
      <c r="L257" s="386">
        <v>0.964</v>
      </c>
      <c r="N257" s="515"/>
      <c r="O257" s="515"/>
    </row>
    <row r="258" spans="1:15" ht="12.75">
      <c r="A258" s="120" t="str">
        <f t="shared" si="1"/>
        <v>Produzione di clinker (cemento) in forni rotativi la cui capacità di produzione supera 500 tonnellate al giorno oppure in altri tipi di forni aventi una capacità di produzione di oltre 50 tonnellate al giorno</v>
      </c>
      <c r="B258" s="82">
        <v>10</v>
      </c>
      <c r="C258" s="82">
        <f t="shared" si="3"/>
        <v>10</v>
      </c>
      <c r="D258" s="85" t="str">
        <f t="shared" si="0"/>
        <v>10.10</v>
      </c>
      <c r="E258" s="116" t="str">
        <f>Translations!B175</f>
        <v>Clinker di cemento grigio</v>
      </c>
      <c r="F258" s="116" t="str">
        <f t="shared" si="2"/>
        <v>tonnellate</v>
      </c>
      <c r="G258" s="116" t="b">
        <v>1</v>
      </c>
      <c r="H258" s="125">
        <v>0.766</v>
      </c>
      <c r="I258" s="116" t="b">
        <v>0</v>
      </c>
      <c r="J258" s="113">
        <f>""</f>
      </c>
      <c r="K258" s="124">
        <f>""</f>
      </c>
      <c r="L258" s="386">
        <v>0.831</v>
      </c>
      <c r="N258" s="515"/>
      <c r="O258" s="515"/>
    </row>
    <row r="259" spans="1:15" ht="12.75">
      <c r="A259" s="120" t="str">
        <f t="shared" si="1"/>
        <v>Produzione di clinker (cemento) in forni rotativi la cui capacità di produzione supera 500 tonnellate al giorno oppure in altri tipi di forni aventi una capacità di produzione di oltre 50 tonnellate al giorno</v>
      </c>
      <c r="B259" s="82">
        <v>10</v>
      </c>
      <c r="C259" s="82">
        <f t="shared" si="3"/>
        <v>11</v>
      </c>
      <c r="D259" s="85" t="str">
        <f t="shared" si="0"/>
        <v>10.11</v>
      </c>
      <c r="E259" s="116" t="str">
        <f>Translations!B176</f>
        <v>Clinker di cemento bianco</v>
      </c>
      <c r="F259" s="116" t="str">
        <f t="shared" si="2"/>
        <v>tonnellate</v>
      </c>
      <c r="G259" s="116" t="b">
        <v>1</v>
      </c>
      <c r="H259" s="123">
        <v>0.987</v>
      </c>
      <c r="I259" s="116" t="b">
        <v>0</v>
      </c>
      <c r="J259" s="113">
        <f>""</f>
      </c>
      <c r="K259" s="124">
        <f>""</f>
      </c>
      <c r="L259" s="386">
        <v>0.787</v>
      </c>
      <c r="N259" s="515"/>
      <c r="O259" s="515"/>
    </row>
    <row r="260" spans="1:15" ht="12.75">
      <c r="A260" s="120" t="str">
        <f t="shared" si="1"/>
        <v>Produzione di calce viva o calcinazione di dolomite o magnesite in forni rotativi con capacità di produzione superiore a 50 tonnellate al giorno</v>
      </c>
      <c r="B260" s="82">
        <v>11</v>
      </c>
      <c r="C260" s="82">
        <f t="shared" si="3"/>
        <v>12</v>
      </c>
      <c r="D260" s="85" t="str">
        <f t="shared" si="0"/>
        <v>11.12</v>
      </c>
      <c r="E260" s="116" t="str">
        <f>Translations!B177</f>
        <v>Calce</v>
      </c>
      <c r="F260" s="116" t="str">
        <f t="shared" si="2"/>
        <v>tonnellate</v>
      </c>
      <c r="G260" s="116" t="b">
        <v>1</v>
      </c>
      <c r="H260" s="123">
        <v>0.954</v>
      </c>
      <c r="I260" s="116" t="b">
        <v>0</v>
      </c>
      <c r="J260" s="113" t="str">
        <f>Translations!$B$98</f>
        <v>Usare lo strumento "calce" nel foglio "SpecialBM" per calcolare i livelli di attività storica.</v>
      </c>
      <c r="K260" s="124" t="str">
        <f>"#JUMP_H_II"</f>
        <v>#JUMP_H_II</v>
      </c>
      <c r="L260" s="386">
        <v>0.813</v>
      </c>
      <c r="N260" s="515"/>
      <c r="O260" s="515"/>
    </row>
    <row r="261" spans="1:15" ht="12.75">
      <c r="A261" s="120" t="str">
        <f t="shared" si="1"/>
        <v>Produzione di calce viva o calcinazione di dolomite o magnesite in forni rotativi con capacità di produzione superiore a 50 tonnellate al giorno</v>
      </c>
      <c r="B261" s="82">
        <v>11</v>
      </c>
      <c r="C261" s="82">
        <f t="shared" si="3"/>
        <v>13</v>
      </c>
      <c r="D261" s="85" t="str">
        <f t="shared" si="0"/>
        <v>11.13</v>
      </c>
      <c r="E261" s="116" t="str">
        <f>Translations!B178</f>
        <v>Calce dolomitica</v>
      </c>
      <c r="F261" s="116" t="str">
        <f t="shared" si="2"/>
        <v>tonnellate</v>
      </c>
      <c r="G261" s="116" t="b">
        <v>1</v>
      </c>
      <c r="H261" s="123">
        <v>1.072</v>
      </c>
      <c r="I261" s="116" t="b">
        <v>0</v>
      </c>
      <c r="J261" s="113" t="str">
        <f>Translations!$B$99</f>
        <v>Usare lo strumento "calce dolomitica" del foglio SpecialBM" per calcolare i livelli di attività storica.</v>
      </c>
      <c r="K261" s="124" t="str">
        <f>"#JUMP_H_III"</f>
        <v>#JUMP_H_III</v>
      </c>
      <c r="L261" s="386">
        <v>0.748</v>
      </c>
      <c r="N261" s="515"/>
      <c r="O261" s="515"/>
    </row>
    <row r="262" spans="1:15" ht="12.75">
      <c r="A262" s="120" t="str">
        <f t="shared" si="1"/>
        <v>Produzione di calce viva o calcinazione di dolomite o magnesite in forni rotativi con capacità di produzione superiore a 50 tonnellate al giorno</v>
      </c>
      <c r="B262" s="82">
        <v>11</v>
      </c>
      <c r="C262" s="82">
        <f t="shared" si="3"/>
        <v>14</v>
      </c>
      <c r="D262" s="85" t="str">
        <f t="shared" si="0"/>
        <v>11.14</v>
      </c>
      <c r="E262" s="116" t="str">
        <f>Translations!B179</f>
        <v>Calce dolomitica sinterizzata</v>
      </c>
      <c r="F262" s="116" t="str">
        <f t="shared" si="2"/>
        <v>tonnellate</v>
      </c>
      <c r="G262" s="116" t="b">
        <v>1</v>
      </c>
      <c r="H262" s="123">
        <v>1.449</v>
      </c>
      <c r="I262" s="116" t="b">
        <v>0</v>
      </c>
      <c r="J262" s="126"/>
      <c r="K262" s="124">
        <f>""</f>
      </c>
      <c r="L262" s="386">
        <v>0.784</v>
      </c>
      <c r="N262" s="515"/>
      <c r="O262" s="515"/>
    </row>
    <row r="263" spans="1:15" ht="12.75">
      <c r="A263" s="120" t="str">
        <f t="shared" si="1"/>
        <v>Fabbricazione del vetro, tra cui le fibre di vetro, con capacità di fusione superiore a 20 tonnellate al giorno</v>
      </c>
      <c r="B263" s="82">
        <v>12</v>
      </c>
      <c r="C263" s="82">
        <f t="shared" si="3"/>
        <v>15</v>
      </c>
      <c r="D263" s="85" t="str">
        <f t="shared" si="0"/>
        <v>12.15</v>
      </c>
      <c r="E263" s="116" t="str">
        <f>Translations!B180</f>
        <v>Cristallo flottato</v>
      </c>
      <c r="F263" s="116" t="str">
        <f t="shared" si="2"/>
        <v>tonnellate</v>
      </c>
      <c r="G263" s="116" t="b">
        <v>1</v>
      </c>
      <c r="H263" s="123">
        <v>0.453</v>
      </c>
      <c r="I263" s="116" t="b">
        <v>0</v>
      </c>
      <c r="J263" s="113">
        <f>""</f>
      </c>
      <c r="K263" s="124">
        <f>""</f>
      </c>
      <c r="L263" s="386">
        <v>0.946</v>
      </c>
      <c r="N263" s="515"/>
      <c r="O263" s="515"/>
    </row>
    <row r="264" spans="1:15" ht="12.75">
      <c r="A264" s="120" t="str">
        <f t="shared" si="1"/>
        <v>Fabbricazione del vetro, tra cui le fibre di vetro, con capacità di fusione superiore a 20 tonnellate al giorno</v>
      </c>
      <c r="B264" s="82">
        <v>12</v>
      </c>
      <c r="C264" s="82">
        <f t="shared" si="3"/>
        <v>16</v>
      </c>
      <c r="D264" s="85" t="str">
        <f t="shared" si="0"/>
        <v>12.16</v>
      </c>
      <c r="E264" s="116" t="str">
        <f>Translations!B181</f>
        <v>Bottiglie e flaconi di vetro incolore</v>
      </c>
      <c r="F264" s="116" t="str">
        <f t="shared" si="2"/>
        <v>tonnellate</v>
      </c>
      <c r="G264" s="116" t="b">
        <v>1</v>
      </c>
      <c r="H264" s="123">
        <v>0.382</v>
      </c>
      <c r="I264" s="116" t="b">
        <v>0</v>
      </c>
      <c r="J264" s="113">
        <f>""</f>
      </c>
      <c r="K264" s="124">
        <f>""</f>
      </c>
      <c r="L264" s="386">
        <v>0.883</v>
      </c>
      <c r="N264" s="515"/>
      <c r="O264" s="515"/>
    </row>
    <row r="265" spans="1:15" ht="12.75">
      <c r="A265" s="120" t="str">
        <f t="shared" si="1"/>
        <v>Fabbricazione del vetro, tra cui le fibre di vetro, con capacità di fusione superiore a 20 tonnellate al giorno</v>
      </c>
      <c r="B265" s="82">
        <v>12</v>
      </c>
      <c r="C265" s="82">
        <f t="shared" si="3"/>
        <v>17</v>
      </c>
      <c r="D265" s="85" t="str">
        <f t="shared" si="0"/>
        <v>12.17</v>
      </c>
      <c r="E265" s="116" t="str">
        <f>Translations!B182</f>
        <v>Bottiglie e flaconi di vetro colorato</v>
      </c>
      <c r="F265" s="116" t="str">
        <f t="shared" si="2"/>
        <v>tonnellate</v>
      </c>
      <c r="G265" s="116" t="b">
        <v>1</v>
      </c>
      <c r="H265" s="123">
        <v>0.306</v>
      </c>
      <c r="I265" s="116" t="b">
        <v>0</v>
      </c>
      <c r="J265" s="113">
        <f>""</f>
      </c>
      <c r="K265" s="124">
        <f>""</f>
      </c>
      <c r="L265" s="386">
        <v>0.912</v>
      </c>
      <c r="N265" s="515"/>
      <c r="O265" s="515"/>
    </row>
    <row r="266" spans="1:15" ht="12.75">
      <c r="A266" s="120" t="str">
        <f t="shared" si="1"/>
        <v>Fabbricazione del vetro, tra cui le fibre di vetro, con capacità di fusione superiore a 20 tonnellate al giorno</v>
      </c>
      <c r="B266" s="82">
        <v>12</v>
      </c>
      <c r="C266" s="82">
        <f t="shared" si="3"/>
        <v>18</v>
      </c>
      <c r="D266" s="85" t="str">
        <f t="shared" si="0"/>
        <v>12.18</v>
      </c>
      <c r="E266" s="116" t="str">
        <f>Translations!B183</f>
        <v>Prodotti in fibra di vetro a filamento continuo</v>
      </c>
      <c r="F266" s="116" t="str">
        <f t="shared" si="2"/>
        <v>tonnellate</v>
      </c>
      <c r="G266" s="116" t="b">
        <v>1</v>
      </c>
      <c r="H266" s="123">
        <v>0.406</v>
      </c>
      <c r="I266" s="116" t="b">
        <v>0</v>
      </c>
      <c r="J266" s="113">
        <f>""</f>
      </c>
      <c r="K266" s="124">
        <f>""</f>
      </c>
      <c r="L266" s="386">
        <v>0.892</v>
      </c>
      <c r="N266" s="515"/>
      <c r="O266" s="515"/>
    </row>
    <row r="267" spans="1:15" ht="12.75">
      <c r="A267" s="120" t="str">
        <f t="shared" si="1"/>
        <v>Fabbricazione di prodotti ceramici mediante cottura, in particolare tegole, mattoni, mattoni refrattari, piastrelle, gres, porcellane, con capacità di produzione superiore a 75 tonnellate al giorno</v>
      </c>
      <c r="B267" s="82">
        <v>13</v>
      </c>
      <c r="C267" s="82">
        <f t="shared" si="3"/>
        <v>19</v>
      </c>
      <c r="D267" s="85" t="str">
        <f t="shared" si="0"/>
        <v>13.19</v>
      </c>
      <c r="E267" s="116" t="str">
        <f>Translations!B184</f>
        <v>Mattoni faccia a vista</v>
      </c>
      <c r="F267" s="116" t="str">
        <f t="shared" si="2"/>
        <v>tonnellate</v>
      </c>
      <c r="G267" s="313" t="b">
        <v>1</v>
      </c>
      <c r="H267" s="123">
        <v>0.139</v>
      </c>
      <c r="I267" s="116" t="b">
        <v>0</v>
      </c>
      <c r="J267" s="113">
        <f>""</f>
      </c>
      <c r="K267" s="124">
        <f>""</f>
      </c>
      <c r="L267" s="386">
        <v>0.809</v>
      </c>
      <c r="N267" s="515"/>
      <c r="O267" s="515"/>
    </row>
    <row r="268" spans="1:15" ht="12.75">
      <c r="A268" s="120" t="str">
        <f t="shared" si="1"/>
        <v>Fabbricazione di prodotti ceramici mediante cottura, in particolare tegole, mattoni, mattoni refrattari, piastrelle, gres, porcellane, con capacità di produzione superiore a 75 tonnellate al giorno</v>
      </c>
      <c r="B268" s="82">
        <v>13</v>
      </c>
      <c r="C268" s="82">
        <f t="shared" si="3"/>
        <v>20</v>
      </c>
      <c r="D268" s="85" t="str">
        <f t="shared" si="0"/>
        <v>13.20</v>
      </c>
      <c r="E268" s="116" t="str">
        <f>Translations!B185</f>
        <v>Mattoni per pavimentazione</v>
      </c>
      <c r="F268" s="116" t="str">
        <f t="shared" si="2"/>
        <v>tonnellate</v>
      </c>
      <c r="G268" s="313" t="b">
        <v>1</v>
      </c>
      <c r="H268" s="123">
        <v>0.192</v>
      </c>
      <c r="I268" s="116" t="b">
        <v>0</v>
      </c>
      <c r="J268" s="113">
        <f>""</f>
      </c>
      <c r="K268" s="124">
        <f>""</f>
      </c>
      <c r="L268" s="386">
        <v>0.731</v>
      </c>
      <c r="N268" s="515"/>
      <c r="O268" s="515"/>
    </row>
    <row r="269" spans="1:15" ht="12.75">
      <c r="A269" s="120" t="str">
        <f t="shared" si="1"/>
        <v>Fabbricazione di prodotti ceramici mediante cottura, in particolare tegole, mattoni, mattoni refrattari, piastrelle, gres, porcellane, con capacità di produzione superiore a 75 tonnellate al giorno</v>
      </c>
      <c r="B269" s="82">
        <v>13</v>
      </c>
      <c r="C269" s="82">
        <f t="shared" si="3"/>
        <v>21</v>
      </c>
      <c r="D269" s="85" t="str">
        <f t="shared" si="0"/>
        <v>13.21</v>
      </c>
      <c r="E269" s="116" t="str">
        <f>Translations!B186</f>
        <v>Coperture in laterizio</v>
      </c>
      <c r="F269" s="116" t="str">
        <f t="shared" si="2"/>
        <v>tonnellate</v>
      </c>
      <c r="G269" s="313" t="b">
        <v>1</v>
      </c>
      <c r="H269" s="123">
        <v>0.144</v>
      </c>
      <c r="I269" s="116" t="b">
        <v>0</v>
      </c>
      <c r="J269" s="113">
        <f>""</f>
      </c>
      <c r="K269" s="124">
        <f>""</f>
      </c>
      <c r="L269" s="386">
        <v>0.836</v>
      </c>
      <c r="N269" s="515"/>
      <c r="O269" s="515"/>
    </row>
    <row r="270" spans="1:15" ht="12.75">
      <c r="A270" s="120" t="str">
        <f t="shared" si="1"/>
        <v>Fabbricazione di prodotti ceramici mediante cottura, in particolare tegole, mattoni, mattoni refrattari, piastrelle, gres, porcellane, con capacità di produzione superiore a 75 tonnellate al giorno</v>
      </c>
      <c r="B270" s="82">
        <v>13</v>
      </c>
      <c r="C270" s="82">
        <f t="shared" si="3"/>
        <v>22</v>
      </c>
      <c r="D270" s="85" t="str">
        <f t="shared" si="0"/>
        <v>13.22</v>
      </c>
      <c r="E270" s="116" t="str">
        <f>Translations!B187</f>
        <v>Polvere atomizzata</v>
      </c>
      <c r="F270" s="116" t="str">
        <f t="shared" si="2"/>
        <v>tonnellate</v>
      </c>
      <c r="G270" s="116" t="b">
        <v>1</v>
      </c>
      <c r="H270" s="123">
        <v>0.076</v>
      </c>
      <c r="I270" s="116" t="b">
        <v>0</v>
      </c>
      <c r="J270" s="113">
        <f>""</f>
      </c>
      <c r="K270" s="124">
        <f>""</f>
      </c>
      <c r="L270" s="386">
        <v>0.802</v>
      </c>
      <c r="N270" s="515"/>
      <c r="O270" s="515"/>
    </row>
    <row r="271" spans="1:15" ht="12.75">
      <c r="A271" s="120" t="str">
        <f t="shared" si="1"/>
        <v>Fabbricazione di materiale isolante in lana minerale a base di vetro, roccia o scorie con capacità di fusione superiore a 20 tonnellate al giorno</v>
      </c>
      <c r="B271" s="82">
        <v>14</v>
      </c>
      <c r="C271" s="82">
        <f t="shared" si="3"/>
        <v>23</v>
      </c>
      <c r="D271" s="85" t="str">
        <f t="shared" si="0"/>
        <v>14.23</v>
      </c>
      <c r="E271" s="116" t="str">
        <f>Translations!B188</f>
        <v>Lana minerale</v>
      </c>
      <c r="F271" s="116" t="str">
        <f t="shared" si="2"/>
        <v>tonnellate</v>
      </c>
      <c r="G271" s="313" t="b">
        <v>1</v>
      </c>
      <c r="H271" s="123">
        <v>0.682</v>
      </c>
      <c r="I271" s="116" t="b">
        <v>1</v>
      </c>
      <c r="J271" s="113">
        <f>""</f>
      </c>
      <c r="K271" s="124">
        <f>""</f>
      </c>
      <c r="L271" s="386">
        <v>0.851</v>
      </c>
      <c r="N271" s="515"/>
      <c r="O271" s="515"/>
    </row>
    <row r="272" spans="1:15" ht="12.75">
      <c r="A272" s="120" t="str">
        <f t="shared" si="1"/>
        <v>Essiccazione o calcinazione del gesso o produzione di pannelli di cartongesso e altri prodotti a base di gesso, ove siano in funzione unità di combustione di potenza termica nominale totale superiore a 20 MW</v>
      </c>
      <c r="B272" s="82">
        <v>15</v>
      </c>
      <c r="C272" s="82">
        <f t="shared" si="3"/>
        <v>24</v>
      </c>
      <c r="D272" s="85" t="str">
        <f t="shared" si="0"/>
        <v>15.24</v>
      </c>
      <c r="E272" s="116" t="str">
        <f>Translations!B189</f>
        <v>Gesso</v>
      </c>
      <c r="F272" s="116" t="str">
        <f t="shared" si="2"/>
        <v>tonnellate</v>
      </c>
      <c r="G272" s="116" t="b">
        <v>0</v>
      </c>
      <c r="H272" s="123">
        <v>0.048</v>
      </c>
      <c r="I272" s="116" t="b">
        <v>0</v>
      </c>
      <c r="J272" s="113">
        <f>""</f>
      </c>
      <c r="K272" s="124">
        <f>""</f>
      </c>
      <c r="L272" s="386">
        <v>0.801</v>
      </c>
      <c r="N272" s="515"/>
      <c r="O272" s="515"/>
    </row>
    <row r="273" spans="1:15" ht="12.75">
      <c r="A273" s="120" t="str">
        <f t="shared" si="1"/>
        <v>Essiccazione o calcinazione del gesso o produzione di pannelli di cartongesso e altri prodotti a base di gesso, ove siano in funzione unità di combustione di potenza termica nominale totale superiore a 20 MW</v>
      </c>
      <c r="B273" s="82">
        <v>15</v>
      </c>
      <c r="C273" s="82">
        <f t="shared" si="3"/>
        <v>25</v>
      </c>
      <c r="D273" s="85" t="str">
        <f t="shared" si="0"/>
        <v>15.25</v>
      </c>
      <c r="E273" s="116" t="str">
        <f>Translations!B190</f>
        <v>Gesso secondario essiccato</v>
      </c>
      <c r="F273" s="116" t="str">
        <f t="shared" si="2"/>
        <v>tonnellate</v>
      </c>
      <c r="G273" s="116" t="b">
        <v>0</v>
      </c>
      <c r="H273" s="123">
        <v>0.017</v>
      </c>
      <c r="I273" s="116" t="b">
        <v>0</v>
      </c>
      <c r="J273" s="113">
        <f>""</f>
      </c>
      <c r="K273" s="124">
        <f>""</f>
      </c>
      <c r="L273" s="386">
        <v>0.812</v>
      </c>
      <c r="N273" s="515"/>
      <c r="O273" s="515"/>
    </row>
    <row r="274" spans="1:15" ht="12.75">
      <c r="A274" s="120" t="str">
        <f t="shared" si="1"/>
        <v>Essiccazione o calcinazione del gesso o produzione di pannelli di cartongesso e altri prodotti a base di gesso, ove siano in funzione unità di combustione di potenza termica nominale totale superiore a 20 MW</v>
      </c>
      <c r="B274" s="82">
        <v>15</v>
      </c>
      <c r="C274" s="82">
        <f t="shared" si="3"/>
        <v>26</v>
      </c>
      <c r="D274" s="85" t="str">
        <f t="shared" si="0"/>
        <v>15.26</v>
      </c>
      <c r="E274" s="116" t="str">
        <f>Translations!B191</f>
        <v>Pannelli in cartongesso</v>
      </c>
      <c r="F274" s="116" t="str">
        <f t="shared" si="2"/>
        <v>tonnellate</v>
      </c>
      <c r="G274" s="116" t="b">
        <v>0</v>
      </c>
      <c r="H274" s="123">
        <v>0.131</v>
      </c>
      <c r="I274" s="116" t="b">
        <v>1</v>
      </c>
      <c r="J274" s="113">
        <f>""</f>
      </c>
      <c r="K274" s="124">
        <f>""</f>
      </c>
      <c r="L274" s="386">
        <v>0.843</v>
      </c>
      <c r="N274" s="515"/>
      <c r="O274" s="515"/>
    </row>
    <row r="275" spans="1:15" ht="12.75">
      <c r="A275" s="120" t="str">
        <f t="shared" si="1"/>
        <v>Fabbricazione di pasta per carta a partire dal legno o da altre materie fibrose</v>
      </c>
      <c r="B275" s="82">
        <v>16</v>
      </c>
      <c r="C275" s="82">
        <f t="shared" si="3"/>
        <v>27</v>
      </c>
      <c r="D275" s="85" t="str">
        <f t="shared" si="0"/>
        <v>16.27</v>
      </c>
      <c r="E275" s="116" t="str">
        <f>Translations!B192</f>
        <v>Pasta kraft a fibre corte</v>
      </c>
      <c r="F275" s="116" t="s">
        <v>314</v>
      </c>
      <c r="G275" s="116" t="b">
        <v>1</v>
      </c>
      <c r="H275" s="123">
        <v>0.12</v>
      </c>
      <c r="I275" s="116" t="b">
        <v>0</v>
      </c>
      <c r="J275" s="126" t="str">
        <f>Translations!$B$100</f>
        <v>Si noti che per la produzione integrata di pasta per carta e carta si applicano disposizioni specifiche sull'assegnazione di quote di emissioni (articolo 10, paragrafo 7, delle CIM).</v>
      </c>
      <c r="K275" s="124">
        <f>""</f>
      </c>
      <c r="L275" s="386">
        <v>0.808</v>
      </c>
      <c r="N275" s="515"/>
      <c r="O275" s="515"/>
    </row>
    <row r="276" spans="1:15" ht="12.75">
      <c r="A276" s="120" t="str">
        <f t="shared" si="1"/>
        <v>Fabbricazione di pasta per carta a partire dal legno o da altre materie fibrose</v>
      </c>
      <c r="B276" s="82">
        <v>16</v>
      </c>
      <c r="C276" s="82">
        <f t="shared" si="3"/>
        <v>28</v>
      </c>
      <c r="D276" s="85" t="str">
        <f t="shared" si="0"/>
        <v>16.28</v>
      </c>
      <c r="E276" s="116" t="str">
        <f>Translations!B193</f>
        <v>Pasta kraft a fibre lunghe</v>
      </c>
      <c r="F276" s="116" t="s">
        <v>314</v>
      </c>
      <c r="G276" s="116" t="b">
        <v>1</v>
      </c>
      <c r="H276" s="123">
        <v>0.06</v>
      </c>
      <c r="I276" s="116" t="b">
        <v>0</v>
      </c>
      <c r="J276" s="126" t="str">
        <f>Translations!$B$100</f>
        <v>Si noti che per la produzione integrata di pasta per carta e carta si applicano disposizioni specifiche sull'assegnazione di quote di emissioni (articolo 10, paragrafo 7, delle CIM).</v>
      </c>
      <c r="K276" s="124">
        <f>""</f>
      </c>
      <c r="L276" s="386">
        <v>0.823</v>
      </c>
      <c r="N276" s="515"/>
      <c r="O276" s="515"/>
    </row>
    <row r="277" spans="1:15" ht="12.75">
      <c r="A277" s="120" t="str">
        <f t="shared" si="1"/>
        <v>Fabbricazione di pasta per carta a partire dal legno o da altre materie fibrose</v>
      </c>
      <c r="B277" s="82">
        <v>16</v>
      </c>
      <c r="C277" s="82">
        <f t="shared" si="3"/>
        <v>29</v>
      </c>
      <c r="D277" s="85" t="str">
        <f t="shared" si="0"/>
        <v>16.29</v>
      </c>
      <c r="E277" s="116" t="str">
        <f>Translations!B194</f>
        <v>Pasta al bisolfito, pasta termomeccanica e meccanica</v>
      </c>
      <c r="F277" s="116" t="s">
        <v>314</v>
      </c>
      <c r="G277" s="116" t="b">
        <v>1</v>
      </c>
      <c r="H277" s="123">
        <v>0.02</v>
      </c>
      <c r="I277" s="116" t="b">
        <v>0</v>
      </c>
      <c r="J277" s="126" t="str">
        <f>Translations!$B$100</f>
        <v>Si noti che per la produzione integrata di pasta per carta e carta si applicano disposizioni specifiche sull'assegnazione di quote di emissioni (articolo 10, paragrafo 7, delle CIM).</v>
      </c>
      <c r="K277" s="124">
        <f>""</f>
      </c>
      <c r="L277" s="386">
        <v>0.862</v>
      </c>
      <c r="N277" s="515"/>
      <c r="O277" s="515"/>
    </row>
    <row r="278" spans="1:15" ht="12.75">
      <c r="A278" s="120" t="str">
        <f t="shared" si="1"/>
        <v>Fabbricazione di pasta per carta a partire dal legno o da altre materie fibrose</v>
      </c>
      <c r="B278" s="82">
        <v>16</v>
      </c>
      <c r="C278" s="82">
        <f t="shared" si="3"/>
        <v>30</v>
      </c>
      <c r="D278" s="85" t="str">
        <f t="shared" si="0"/>
        <v>16.30</v>
      </c>
      <c r="E278" s="116" t="str">
        <f>Translations!B195</f>
        <v>Pasta di carta recuperata</v>
      </c>
      <c r="F278" s="116" t="s">
        <v>314</v>
      </c>
      <c r="G278" s="116" t="b">
        <v>1</v>
      </c>
      <c r="H278" s="123">
        <v>0.039</v>
      </c>
      <c r="I278" s="116" t="b">
        <v>0</v>
      </c>
      <c r="J278" s="113">
        <f>""</f>
      </c>
      <c r="K278" s="124">
        <f>""</f>
      </c>
      <c r="L278" s="386">
        <v>0.887</v>
      </c>
      <c r="N278" s="515"/>
      <c r="O278" s="515"/>
    </row>
    <row r="279" spans="1:15" ht="12.75">
      <c r="A279" s="120" t="str">
        <f t="shared" si="1"/>
        <v>Fabbricazione di carta o cartoni con capacità di produzione superiore a 20 tonnellate al giorno</v>
      </c>
      <c r="B279" s="82">
        <v>17</v>
      </c>
      <c r="C279" s="82">
        <f t="shared" si="3"/>
        <v>31</v>
      </c>
      <c r="D279" s="85" t="str">
        <f t="shared" si="0"/>
        <v>17.31</v>
      </c>
      <c r="E279" s="116" t="str">
        <f>Translations!B196</f>
        <v>Carta da giornale</v>
      </c>
      <c r="F279" s="116" t="s">
        <v>314</v>
      </c>
      <c r="G279" s="116" t="b">
        <v>1</v>
      </c>
      <c r="H279" s="123">
        <v>0.298</v>
      </c>
      <c r="I279" s="116" t="b">
        <v>0</v>
      </c>
      <c r="J279" s="113">
        <f>""</f>
      </c>
      <c r="K279" s="124">
        <f>""</f>
      </c>
      <c r="L279" s="386">
        <v>0.919</v>
      </c>
      <c r="N279" s="515"/>
      <c r="O279" s="515"/>
    </row>
    <row r="280" spans="1:15" ht="12.75">
      <c r="A280" s="120" t="str">
        <f t="shared" si="1"/>
        <v>Fabbricazione di carta o cartoni con capacità di produzione superiore a 20 tonnellate al giorno</v>
      </c>
      <c r="B280" s="82">
        <v>17</v>
      </c>
      <c r="C280" s="82">
        <f t="shared" si="3"/>
        <v>32</v>
      </c>
      <c r="D280" s="85" t="str">
        <f t="shared" si="0"/>
        <v>17.32</v>
      </c>
      <c r="E280" s="116" t="str">
        <f>Translations!B197</f>
        <v>Carta fine non patinata</v>
      </c>
      <c r="F280" s="116" t="s">
        <v>314</v>
      </c>
      <c r="G280" s="116" t="b">
        <v>1</v>
      </c>
      <c r="H280" s="123">
        <v>0.318</v>
      </c>
      <c r="I280" s="116" t="b">
        <v>0</v>
      </c>
      <c r="J280" s="113">
        <f>""</f>
      </c>
      <c r="K280" s="124">
        <f>""</f>
      </c>
      <c r="L280" s="386">
        <v>0.872</v>
      </c>
      <c r="N280" s="515"/>
      <c r="O280" s="515"/>
    </row>
    <row r="281" spans="1:15" ht="12.75">
      <c r="A281" s="120" t="str">
        <f t="shared" si="1"/>
        <v>Fabbricazione di carta o cartoni con capacità di produzione superiore a 20 tonnellate al giorno</v>
      </c>
      <c r="B281" s="82">
        <v>17</v>
      </c>
      <c r="C281" s="82">
        <f t="shared" si="3"/>
        <v>33</v>
      </c>
      <c r="D281" s="85" t="str">
        <f aca="true" t="shared" si="4" ref="D281:D300">CONCATENATE(TEXT(B281,"00"),".",TEXT(C281,"00"))</f>
        <v>17.33</v>
      </c>
      <c r="E281" s="116" t="str">
        <f>Translations!B198</f>
        <v>Carta fine patinata</v>
      </c>
      <c r="F281" s="116" t="s">
        <v>314</v>
      </c>
      <c r="G281" s="116" t="b">
        <v>1</v>
      </c>
      <c r="H281" s="123">
        <v>0.318</v>
      </c>
      <c r="I281" s="116" t="b">
        <v>0</v>
      </c>
      <c r="J281" s="113">
        <f>""</f>
      </c>
      <c r="K281" s="124">
        <f>""</f>
      </c>
      <c r="L281" s="386">
        <v>0.883</v>
      </c>
      <c r="N281" s="515"/>
      <c r="O281" s="515"/>
    </row>
    <row r="282" spans="1:15" ht="12.75">
      <c r="A282" s="120" t="str">
        <f t="shared" si="1"/>
        <v>Fabbricazione di carta o cartoni con capacità di produzione superiore a 20 tonnellate al giorno</v>
      </c>
      <c r="B282" s="82">
        <v>17</v>
      </c>
      <c r="C282" s="82">
        <f t="shared" si="3"/>
        <v>34</v>
      </c>
      <c r="D282" s="85" t="str">
        <f t="shared" si="4"/>
        <v>17.34</v>
      </c>
      <c r="E282" s="116" t="str">
        <f>Translations!B199</f>
        <v>Carta tissue</v>
      </c>
      <c r="F282" s="116" t="str">
        <f>EUconst_Tons</f>
        <v>tonnellate</v>
      </c>
      <c r="G282" s="116" t="b">
        <v>1</v>
      </c>
      <c r="H282" s="123">
        <v>0.334</v>
      </c>
      <c r="I282" s="116" t="b">
        <v>0</v>
      </c>
      <c r="J282" s="113">
        <f>""</f>
      </c>
      <c r="K282" s="124">
        <f>""</f>
      </c>
      <c r="L282" s="386">
        <v>0.9</v>
      </c>
      <c r="N282" s="515"/>
      <c r="O282" s="515"/>
    </row>
    <row r="283" spans="1:15" ht="12.75">
      <c r="A283" s="120" t="str">
        <f t="shared" si="1"/>
        <v>Fabbricazione di carta o cartoni con capacità di produzione superiore a 20 tonnellate al giorno</v>
      </c>
      <c r="B283" s="82">
        <v>17</v>
      </c>
      <c r="C283" s="82">
        <f t="shared" si="3"/>
        <v>35</v>
      </c>
      <c r="D283" s="85" t="str">
        <f t="shared" si="4"/>
        <v>17.35</v>
      </c>
      <c r="E283" s="116" t="str">
        <f>Translations!B200</f>
        <v>Testliner e fluting</v>
      </c>
      <c r="F283" s="116" t="s">
        <v>314</v>
      </c>
      <c r="G283" s="116" t="b">
        <v>1</v>
      </c>
      <c r="H283" s="123">
        <v>0.248</v>
      </c>
      <c r="I283" s="116" t="b">
        <v>0</v>
      </c>
      <c r="J283" s="113">
        <f>""</f>
      </c>
      <c r="K283" s="124">
        <f>""</f>
      </c>
      <c r="L283" s="386">
        <v>0.889</v>
      </c>
      <c r="N283" s="515"/>
      <c r="O283" s="515"/>
    </row>
    <row r="284" spans="1:15" ht="12.75">
      <c r="A284" s="120" t="str">
        <f>VLOOKUP(B284,$A$216:$B$243,2,0)</f>
        <v>Fabbricazione di carta o cartoni con capacità di produzione superiore a 20 tonnellate al giorno</v>
      </c>
      <c r="B284" s="82">
        <v>17</v>
      </c>
      <c r="C284" s="82">
        <f t="shared" si="3"/>
        <v>36</v>
      </c>
      <c r="D284" s="85" t="str">
        <f t="shared" si="4"/>
        <v>17.36</v>
      </c>
      <c r="E284" s="116" t="str">
        <f>Translations!B201</f>
        <v>Cartone non patinato</v>
      </c>
      <c r="F284" s="116" t="s">
        <v>314</v>
      </c>
      <c r="G284" s="116" t="b">
        <v>1</v>
      </c>
      <c r="H284" s="123">
        <v>0.237</v>
      </c>
      <c r="I284" s="116" t="b">
        <v>0</v>
      </c>
      <c r="J284" s="113">
        <f>""</f>
      </c>
      <c r="K284" s="124">
        <f>""</f>
      </c>
      <c r="L284" s="386">
        <v>0.863</v>
      </c>
      <c r="N284" s="515"/>
      <c r="O284" s="515"/>
    </row>
    <row r="285" spans="1:15" ht="12.75">
      <c r="A285" s="120" t="str">
        <f t="shared" si="1"/>
        <v>Fabbricazione di carta o cartoni con capacità di produzione superiore a 20 tonnellate al giorno</v>
      </c>
      <c r="B285" s="82">
        <v>17</v>
      </c>
      <c r="C285" s="82">
        <f t="shared" si="3"/>
        <v>37</v>
      </c>
      <c r="D285" s="85" t="str">
        <f t="shared" si="4"/>
        <v>17.37</v>
      </c>
      <c r="E285" s="116" t="str">
        <f>Translations!B202</f>
        <v>Cartone patinato</v>
      </c>
      <c r="F285" s="116" t="s">
        <v>314</v>
      </c>
      <c r="G285" s="116" t="b">
        <v>1</v>
      </c>
      <c r="H285" s="123">
        <v>0.273</v>
      </c>
      <c r="I285" s="116" t="b">
        <v>0</v>
      </c>
      <c r="J285" s="113">
        <f>""</f>
      </c>
      <c r="K285" s="124">
        <f>""</f>
      </c>
      <c r="L285" s="386">
        <v>0.868</v>
      </c>
      <c r="N285" s="515"/>
      <c r="O285" s="515"/>
    </row>
    <row r="286" spans="1:15" ht="12.75">
      <c r="A286" s="120" t="str">
        <f t="shared" si="1"/>
        <v>Produzione di nerofumo, compresa la carbonizzazione di sostanze organiche quali oli, bitumi, residui del cracking e della distillazione, ove siano in funzione unità di combustione di potenza termica nominale totale superiore a 20 MW</v>
      </c>
      <c r="B286" s="82">
        <v>18</v>
      </c>
      <c r="C286" s="82">
        <f t="shared" si="3"/>
        <v>38</v>
      </c>
      <c r="D286" s="85" t="str">
        <f t="shared" si="4"/>
        <v>18.38</v>
      </c>
      <c r="E286" s="116" t="str">
        <f>Translations!B203</f>
        <v>Nerofumo (carbon black)</v>
      </c>
      <c r="F286" s="116" t="str">
        <f>EUconst_Tons</f>
        <v>tonnellate</v>
      </c>
      <c r="G286" s="116" t="b">
        <v>1</v>
      </c>
      <c r="H286" s="125">
        <v>1.954</v>
      </c>
      <c r="I286" s="116" t="b">
        <v>1</v>
      </c>
      <c r="J286" s="113">
        <f>""</f>
      </c>
      <c r="K286" s="124">
        <f>""</f>
      </c>
      <c r="L286" s="386">
        <v>0.865</v>
      </c>
      <c r="N286" s="515"/>
      <c r="O286" s="515"/>
    </row>
    <row r="287" spans="1:15" ht="12.75">
      <c r="A287" s="120" t="str">
        <f t="shared" si="1"/>
        <v>Produzione di acido nitrico</v>
      </c>
      <c r="B287" s="82">
        <v>19</v>
      </c>
      <c r="C287" s="82">
        <f t="shared" si="3"/>
        <v>39</v>
      </c>
      <c r="D287" s="85" t="str">
        <f t="shared" si="4"/>
        <v>19.39</v>
      </c>
      <c r="E287" s="116" t="str">
        <f>Translations!B204</f>
        <v>Acido nitrico</v>
      </c>
      <c r="F287" s="116" t="str">
        <f>EUconst_Tons</f>
        <v>tonnellate</v>
      </c>
      <c r="G287" s="116" t="b">
        <v>1</v>
      </c>
      <c r="H287" s="125">
        <v>0.302</v>
      </c>
      <c r="I287" s="116" t="b">
        <v>0</v>
      </c>
      <c r="J287" s="126" t="str">
        <f>Translations!$B$101</f>
        <v>Il calore misurabile esportato verso altri sottoimpianti deve essere trattato come calore da fonti non rientranti nel sistema ETS.</v>
      </c>
      <c r="K287" s="124">
        <f>""</f>
      </c>
      <c r="L287" s="386">
        <v>0.876</v>
      </c>
      <c r="N287" s="515"/>
      <c r="O287" s="515"/>
    </row>
    <row r="288" spans="1:15" ht="12.75">
      <c r="A288" s="120" t="str">
        <f t="shared" si="1"/>
        <v>Produzione di acido adipico</v>
      </c>
      <c r="B288" s="82">
        <v>20</v>
      </c>
      <c r="C288" s="82">
        <f t="shared" si="3"/>
        <v>40</v>
      </c>
      <c r="D288" s="85" t="str">
        <f t="shared" si="4"/>
        <v>20.40</v>
      </c>
      <c r="E288" s="116" t="str">
        <f>Translations!B205</f>
        <v>Acido adipico</v>
      </c>
      <c r="F288" s="116" t="str">
        <f>EUconst_Tons</f>
        <v>tonnellate</v>
      </c>
      <c r="G288" s="116" t="b">
        <v>1</v>
      </c>
      <c r="H288" s="123">
        <v>2.79</v>
      </c>
      <c r="I288" s="116" t="b">
        <v>0</v>
      </c>
      <c r="J288" s="113">
        <f>""</f>
      </c>
      <c r="K288" s="124">
        <f>""</f>
      </c>
      <c r="L288" s="386">
        <v>0.849</v>
      </c>
      <c r="N288" s="515"/>
      <c r="O288" s="515"/>
    </row>
    <row r="289" spans="1:15" ht="12.75">
      <c r="A289" s="120" t="str">
        <f t="shared" si="1"/>
        <v>Produzione di ammoniaca</v>
      </c>
      <c r="B289" s="82">
        <v>22</v>
      </c>
      <c r="C289" s="82">
        <f t="shared" si="3"/>
        <v>41</v>
      </c>
      <c r="D289" s="85" t="str">
        <f t="shared" si="4"/>
        <v>22.41</v>
      </c>
      <c r="E289" s="116" t="str">
        <f>Translations!B206</f>
        <v>Ammoniaca</v>
      </c>
      <c r="F289" s="116" t="str">
        <f>EUconst_Tons</f>
        <v>tonnellate</v>
      </c>
      <c r="G289" s="116" t="b">
        <v>1</v>
      </c>
      <c r="H289" s="125">
        <v>1.619</v>
      </c>
      <c r="I289" s="116" t="b">
        <v>1</v>
      </c>
      <c r="J289" s="113">
        <f>""</f>
      </c>
      <c r="K289" s="124">
        <f>""</f>
      </c>
      <c r="L289" s="386">
        <v>0.888</v>
      </c>
      <c r="N289" s="515"/>
      <c r="O289" s="515"/>
    </row>
    <row r="290" spans="1:15" ht="12.75">
      <c r="A290" s="120" t="str">
        <f t="shared" si="1"/>
        <v>Produzione di prodotti chimici organici su larga scala mediante cracking, reforming, ossidazione parziale o totale o processi simili, con una capacità di produzione superiore a 100 tonnellate al giorno</v>
      </c>
      <c r="B290" s="82">
        <v>23</v>
      </c>
      <c r="C290" s="82">
        <f t="shared" si="3"/>
        <v>42</v>
      </c>
      <c r="D290" s="85" t="str">
        <f t="shared" si="4"/>
        <v>23.42</v>
      </c>
      <c r="E290" s="116" t="str">
        <f>Translations!B207</f>
        <v>Cracking con vapore</v>
      </c>
      <c r="F290" s="116" t="str">
        <f>EUconst_Tons</f>
        <v>tonnellate</v>
      </c>
      <c r="G290" s="116" t="b">
        <v>1</v>
      </c>
      <c r="H290" s="123">
        <v>0.702</v>
      </c>
      <c r="I290" s="116" t="b">
        <v>1</v>
      </c>
      <c r="J290" s="113" t="str">
        <f>Translations!B102</f>
        <v>Usare lo strumento "cracking con vapore" del foglio "SpecialBM" per calcolare i livelli di attività storica e le quote preliminare da assegnare.</v>
      </c>
      <c r="K290" s="124" t="str">
        <f>"#JUMP_H_IV"</f>
        <v>#JUMP_H_IV</v>
      </c>
      <c r="L290" s="386">
        <v>0.872</v>
      </c>
      <c r="N290" s="515"/>
      <c r="O290" s="515"/>
    </row>
    <row r="291" spans="1:15" ht="12.75">
      <c r="A291" s="120" t="str">
        <f t="shared" si="1"/>
        <v>Produzione di prodotti chimici organici su larga scala mediante cracking, reforming, ossidazione parziale o totale o processi simili, con una capacità di produzione superiore a 100 tonnellate al giorno</v>
      </c>
      <c r="B291" s="82">
        <v>23</v>
      </c>
      <c r="C291" s="82">
        <f t="shared" si="3"/>
        <v>43</v>
      </c>
      <c r="D291" s="85" t="str">
        <f t="shared" si="4"/>
        <v>23.43</v>
      </c>
      <c r="E291" s="116" t="str">
        <f>Translations!B208</f>
        <v>Idrocarburi aromatici</v>
      </c>
      <c r="F291" s="116" t="s">
        <v>538</v>
      </c>
      <c r="G291" s="116" t="b">
        <v>1</v>
      </c>
      <c r="H291" s="123">
        <v>0.0295</v>
      </c>
      <c r="I291" s="116" t="b">
        <v>1</v>
      </c>
      <c r="J291" s="113" t="str">
        <f>Translations!B103</f>
        <v>Usare lo strumento "CWT” del foglio "SpecialBM" per calcolare i livelli di attività storica.</v>
      </c>
      <c r="K291" s="124" t="str">
        <f>"#JUMP_H_V"</f>
        <v>#JUMP_H_V</v>
      </c>
      <c r="L291" s="386">
        <v>0.902</v>
      </c>
      <c r="N291" s="515"/>
      <c r="O291" s="515"/>
    </row>
    <row r="292" spans="1:15" ht="12.75">
      <c r="A292" s="120" t="str">
        <f t="shared" si="1"/>
        <v>Produzione di prodotti chimici organici su larga scala mediante cracking, reforming, ossidazione parziale o totale o processi simili, con una capacità di produzione superiore a 100 tonnellate al giorno</v>
      </c>
      <c r="B292" s="82">
        <v>23</v>
      </c>
      <c r="C292" s="82">
        <f t="shared" si="3"/>
        <v>44</v>
      </c>
      <c r="D292" s="85" t="str">
        <f t="shared" si="4"/>
        <v>23.44</v>
      </c>
      <c r="E292" s="116" t="str">
        <f>Translations!B209</f>
        <v>Stirene</v>
      </c>
      <c r="F292" s="116" t="str">
        <f aca="true" t="shared" si="5" ref="F292:F300">EUconst_Tons</f>
        <v>tonnellate</v>
      </c>
      <c r="G292" s="116" t="b">
        <v>1</v>
      </c>
      <c r="H292" s="123">
        <v>0.527</v>
      </c>
      <c r="I292" s="116" t="b">
        <v>1</v>
      </c>
      <c r="J292" s="113">
        <f>""</f>
      </c>
      <c r="K292" s="124">
        <f>""</f>
      </c>
      <c r="L292" s="386">
        <v>0.879</v>
      </c>
      <c r="N292" s="515"/>
      <c r="O292" s="515"/>
    </row>
    <row r="293" spans="1:15" ht="12.75">
      <c r="A293" s="120" t="str">
        <f t="shared" si="1"/>
        <v>Produzione di prodotti chimici organici su larga scala mediante cracking, reforming, ossidazione parziale o totale o processi simili, con una capacità di produzione superiore a 100 tonnellate al giorno</v>
      </c>
      <c r="B293" s="82">
        <v>23</v>
      </c>
      <c r="C293" s="82">
        <f t="shared" si="3"/>
        <v>45</v>
      </c>
      <c r="D293" s="85" t="str">
        <f t="shared" si="4"/>
        <v>23.45</v>
      </c>
      <c r="E293" s="116" t="str">
        <f>Translations!B210</f>
        <v>Fenolo/acetone</v>
      </c>
      <c r="F293" s="116" t="str">
        <f t="shared" si="5"/>
        <v>tonnellate</v>
      </c>
      <c r="G293" s="116" t="b">
        <v>1</v>
      </c>
      <c r="H293" s="123">
        <v>0.266</v>
      </c>
      <c r="I293" s="116" t="b">
        <v>0</v>
      </c>
      <c r="J293" s="113">
        <f>""</f>
      </c>
      <c r="K293" s="124">
        <f>""</f>
      </c>
      <c r="L293" s="386">
        <v>0.87</v>
      </c>
      <c r="N293" s="515"/>
      <c r="O293" s="515"/>
    </row>
    <row r="294" spans="1:15" ht="12.75">
      <c r="A294" s="120" t="str">
        <f t="shared" si="1"/>
        <v>Produzione di prodotti chimici organici su larga scala mediante cracking, reforming, ossidazione parziale o totale o processi simili, con una capacità di produzione superiore a 100 tonnellate al giorno</v>
      </c>
      <c r="B294" s="82">
        <v>23</v>
      </c>
      <c r="C294" s="82">
        <f t="shared" si="3"/>
        <v>46</v>
      </c>
      <c r="D294" s="85" t="str">
        <f t="shared" si="4"/>
        <v>23.46</v>
      </c>
      <c r="E294" s="116" t="str">
        <f>Translations!B211</f>
        <v>Ossido di etilene/glicoli etilenici</v>
      </c>
      <c r="F294" s="116" t="str">
        <f t="shared" si="5"/>
        <v>tonnellate</v>
      </c>
      <c r="G294" s="116" t="b">
        <v>1</v>
      </c>
      <c r="H294" s="123">
        <v>0.512</v>
      </c>
      <c r="I294" s="116" t="b">
        <v>1</v>
      </c>
      <c r="J294" s="113" t="str">
        <f>Translations!B104</f>
        <v>Usare lo strumento "ossido di etilene/glicoli etilenici" del foglio "SpecialBM" per calcolare i livelli di attività storica.</v>
      </c>
      <c r="K294" s="124" t="str">
        <f>"#JUMP_H_VIII"</f>
        <v>#JUMP_H_VIII</v>
      </c>
      <c r="L294" s="386">
        <v>0.84</v>
      </c>
      <c r="N294" s="515"/>
      <c r="O294" s="515"/>
    </row>
    <row r="295" spans="1:15" ht="12.75">
      <c r="A295" s="120" t="str">
        <f t="shared" si="1"/>
        <v>Produzione di prodotti chimici organici su larga scala mediante cracking, reforming, ossidazione parziale o totale o processi simili, con una capacità di produzione superiore a 100 tonnellate al giorno</v>
      </c>
      <c r="B295" s="82">
        <v>23</v>
      </c>
      <c r="C295" s="82">
        <f t="shared" si="3"/>
        <v>47</v>
      </c>
      <c r="D295" s="85" t="str">
        <f t="shared" si="4"/>
        <v>23.47</v>
      </c>
      <c r="E295" s="116" t="str">
        <f>Translations!B212</f>
        <v>Cloruro di vinile monomero (VCM)</v>
      </c>
      <c r="F295" s="116" t="str">
        <f t="shared" si="5"/>
        <v>tonnellate</v>
      </c>
      <c r="G295" s="116" t="b">
        <v>1</v>
      </c>
      <c r="H295" s="123">
        <v>0.204</v>
      </c>
      <c r="I295" s="116" t="b">
        <v>0</v>
      </c>
      <c r="J295" s="113" t="str">
        <f>Translations!B105</f>
        <v>Usare lo strumento "VCM" del foglio "SpecialBM" per calcolare le quote preliminari da assegnare.</v>
      </c>
      <c r="K295" s="124" t="str">
        <f>"#JUMP_H_IX"</f>
        <v>#JUMP_H_IX</v>
      </c>
      <c r="L295" s="386">
        <v>0.842</v>
      </c>
      <c r="N295" s="515"/>
      <c r="O295" s="515"/>
    </row>
    <row r="296" spans="1:15" ht="12.75">
      <c r="A296" s="120" t="str">
        <f t="shared" si="1"/>
        <v>Produzione di prodotti chimici organici su larga scala mediante cracking, reforming, ossidazione parziale o totale o processi simili, con una capacità di produzione superiore a 100 tonnellate al giorno</v>
      </c>
      <c r="B296" s="82">
        <v>23</v>
      </c>
      <c r="C296" s="82">
        <f t="shared" si="3"/>
        <v>48</v>
      </c>
      <c r="D296" s="85" t="str">
        <f t="shared" si="4"/>
        <v>23.48</v>
      </c>
      <c r="E296" s="116" t="str">
        <f>Translations!B213</f>
        <v>S-PVC</v>
      </c>
      <c r="F296" s="116" t="str">
        <f t="shared" si="5"/>
        <v>tonnellate</v>
      </c>
      <c r="G296" s="116" t="b">
        <v>1</v>
      </c>
      <c r="H296" s="123">
        <v>0.085</v>
      </c>
      <c r="I296" s="116" t="b">
        <v>0</v>
      </c>
      <c r="J296" s="113">
        <f>""</f>
      </c>
      <c r="K296" s="124">
        <f>""</f>
      </c>
      <c r="L296" s="386">
        <v>0.873</v>
      </c>
      <c r="N296" s="515"/>
      <c r="O296" s="515"/>
    </row>
    <row r="297" spans="1:15" ht="12.75">
      <c r="A297" s="120" t="str">
        <f t="shared" si="1"/>
        <v>Produzione di prodotti chimici organici su larga scala mediante cracking, reforming, ossidazione parziale o totale o processi simili, con una capacità di produzione superiore a 100 tonnellate al giorno</v>
      </c>
      <c r="B297" s="82">
        <v>23</v>
      </c>
      <c r="C297" s="82">
        <f t="shared" si="3"/>
        <v>49</v>
      </c>
      <c r="D297" s="85" t="str">
        <f t="shared" si="4"/>
        <v>23.49</v>
      </c>
      <c r="E297" s="116" t="str">
        <f>Translations!B214</f>
        <v>E-PVC</v>
      </c>
      <c r="F297" s="116" t="str">
        <f t="shared" si="5"/>
        <v>tonnellate</v>
      </c>
      <c r="G297" s="116" t="b">
        <v>1</v>
      </c>
      <c r="H297" s="123">
        <v>0.238</v>
      </c>
      <c r="I297" s="116" t="b">
        <v>0</v>
      </c>
      <c r="J297" s="113">
        <f>""</f>
      </c>
      <c r="K297" s="124">
        <f>""</f>
      </c>
      <c r="L297" s="386">
        <v>0.834</v>
      </c>
      <c r="N297" s="515"/>
      <c r="O297" s="515"/>
    </row>
    <row r="298" spans="1:15" ht="12.75">
      <c r="A298" s="120" t="str">
        <f t="shared" si="1"/>
        <v>Produzione di idrogeno (H2) e di gas di sintesi mediante reforming o mediante ossidazione parziale, con una capacità di produzione superiore a 25 tonnellate al giorno</v>
      </c>
      <c r="B298" s="82">
        <v>24</v>
      </c>
      <c r="C298" s="82">
        <f t="shared" si="3"/>
        <v>50</v>
      </c>
      <c r="D298" s="85" t="str">
        <f t="shared" si="4"/>
        <v>24.50</v>
      </c>
      <c r="E298" s="116" t="str">
        <f>Translations!B215</f>
        <v>Idrogeno</v>
      </c>
      <c r="F298" s="116" t="str">
        <f t="shared" si="5"/>
        <v>tonnellate</v>
      </c>
      <c r="G298" s="116" t="b">
        <v>1</v>
      </c>
      <c r="H298" s="123">
        <v>8.85</v>
      </c>
      <c r="I298" s="116" t="b">
        <v>1</v>
      </c>
      <c r="J298" s="113" t="str">
        <f>Translations!B106</f>
        <v>Usare lo strumento "idrogeno" del foglio "SpecialBM" per calcolare i livelli di attività storica.</v>
      </c>
      <c r="K298" s="124" t="str">
        <f>"#JUMP_H_VI"</f>
        <v>#JUMP_H_VI</v>
      </c>
      <c r="L298" s="386">
        <v>0.902</v>
      </c>
      <c r="N298" s="515"/>
      <c r="O298" s="515"/>
    </row>
    <row r="299" spans="1:15" ht="12.75">
      <c r="A299" s="120" t="str">
        <f t="shared" si="1"/>
        <v>Produzione di idrogeno (H2) e di gas di sintesi mediante reforming o mediante ossidazione parziale, con una capacità di produzione superiore a 25 tonnellate al giorno</v>
      </c>
      <c r="B299" s="82">
        <v>24</v>
      </c>
      <c r="C299" s="82">
        <f t="shared" si="3"/>
        <v>51</v>
      </c>
      <c r="D299" s="85" t="str">
        <f t="shared" si="4"/>
        <v>24.51</v>
      </c>
      <c r="E299" s="116" t="str">
        <f>Translations!B216</f>
        <v>Gas di sintesi</v>
      </c>
      <c r="F299" s="116" t="str">
        <f t="shared" si="5"/>
        <v>tonnellate</v>
      </c>
      <c r="G299" s="116" t="b">
        <v>1</v>
      </c>
      <c r="H299" s="123">
        <v>0.242</v>
      </c>
      <c r="I299" s="116" t="b">
        <v>1</v>
      </c>
      <c r="J299" s="113" t="str">
        <f>Translations!B107</f>
        <v>Usare lo strumento "syngas" del foglio "SpecialBM" per calcolare i livelli di attività storica.</v>
      </c>
      <c r="K299" s="124" t="str">
        <f>"#JUMP_H_VII"</f>
        <v>#JUMP_H_VII</v>
      </c>
      <c r="L299" s="386">
        <v>0.902</v>
      </c>
      <c r="N299" s="515"/>
      <c r="O299" s="515"/>
    </row>
    <row r="300" spans="1:15" ht="12.75">
      <c r="A300" s="120" t="str">
        <f t="shared" si="1"/>
        <v>Produzione di carbonato di sodio (Na2CO3) e di bicarbonato di sodio (NaHCO3)</v>
      </c>
      <c r="B300" s="82">
        <v>25</v>
      </c>
      <c r="C300" s="82">
        <f t="shared" si="3"/>
        <v>52</v>
      </c>
      <c r="D300" s="85" t="str">
        <f t="shared" si="4"/>
        <v>25.52</v>
      </c>
      <c r="E300" s="116" t="str">
        <f>Translations!B217</f>
        <v>Soda</v>
      </c>
      <c r="F300" s="116" t="str">
        <f t="shared" si="5"/>
        <v>tonnellate</v>
      </c>
      <c r="G300" s="116" t="b">
        <v>1</v>
      </c>
      <c r="H300" s="123">
        <v>0.843</v>
      </c>
      <c r="I300" s="116" t="b">
        <v>0</v>
      </c>
      <c r="J300" s="113">
        <f>""</f>
      </c>
      <c r="K300" s="124">
        <f>""</f>
      </c>
      <c r="L300" s="386">
        <v>0.926</v>
      </c>
      <c r="N300" s="515"/>
      <c r="O300" s="515"/>
    </row>
    <row r="301" spans="1:12" ht="12.75">
      <c r="A301" s="127" t="s">
        <v>57</v>
      </c>
      <c r="B301" s="128" t="s">
        <v>57</v>
      </c>
      <c r="C301" s="128" t="s">
        <v>57</v>
      </c>
      <c r="D301" s="128" t="s">
        <v>57</v>
      </c>
      <c r="E301" s="128" t="s">
        <v>57</v>
      </c>
      <c r="F301" s="128" t="s">
        <v>57</v>
      </c>
      <c r="G301" s="128" t="s">
        <v>57</v>
      </c>
      <c r="H301" s="128" t="s">
        <v>57</v>
      </c>
      <c r="I301" s="128" t="s">
        <v>57</v>
      </c>
      <c r="J301" s="128" t="s">
        <v>57</v>
      </c>
      <c r="K301" s="128" t="s">
        <v>57</v>
      </c>
      <c r="L301" s="128" t="s">
        <v>57</v>
      </c>
    </row>
    <row r="302" s="118" customFormat="1" ht="12.75">
      <c r="A302" s="118" t="s">
        <v>491</v>
      </c>
    </row>
    <row r="303" spans="1:11" ht="12.75">
      <c r="A303" s="116"/>
      <c r="B303" s="116"/>
      <c r="C303" s="116" t="s">
        <v>532</v>
      </c>
      <c r="D303" s="116" t="s">
        <v>533</v>
      </c>
      <c r="E303" s="116" t="s">
        <v>492</v>
      </c>
      <c r="F303" s="116" t="s">
        <v>132</v>
      </c>
      <c r="G303" s="116" t="s">
        <v>535</v>
      </c>
      <c r="H303" s="116" t="s">
        <v>536</v>
      </c>
      <c r="I303" s="116" t="s">
        <v>14</v>
      </c>
      <c r="J303" s="116"/>
      <c r="K303" s="129"/>
    </row>
    <row r="304" spans="2:12" s="130" customFormat="1" ht="12.75">
      <c r="B304" s="130">
        <v>90</v>
      </c>
      <c r="C304" s="131">
        <v>91</v>
      </c>
      <c r="D304" s="132" t="str">
        <f aca="true" t="shared" si="6" ref="D304:D309">CONCATENATE(TEXT(B304,"00"),".",TEXT(C304,"00"))</f>
        <v>90.91</v>
      </c>
      <c r="E304" s="34" t="str">
        <f>Translations!B218</f>
        <v>Sottoimpianto oggetto di un parametro di riferimento relativo al calore, CL</v>
      </c>
      <c r="F304" s="4" t="str">
        <f>EUconst_TJ</f>
        <v>TJ</v>
      </c>
      <c r="G304" s="33" t="b">
        <v>1</v>
      </c>
      <c r="H304" s="131">
        <v>62.3</v>
      </c>
      <c r="I304" s="131" t="s">
        <v>15</v>
      </c>
      <c r="L304" s="388">
        <v>1</v>
      </c>
    </row>
    <row r="305" spans="2:12" s="130" customFormat="1" ht="12.75">
      <c r="B305" s="130">
        <v>90</v>
      </c>
      <c r="C305" s="131">
        <v>92</v>
      </c>
      <c r="D305" s="132" t="str">
        <f t="shared" si="6"/>
        <v>90.92</v>
      </c>
      <c r="E305" s="34" t="str">
        <f>Translations!B219</f>
        <v>Sottoimpianto oggetto di un parametro di riferimento relativo al calore, non CL</v>
      </c>
      <c r="F305" s="4" t="str">
        <f>EUconst_TJ</f>
        <v>TJ</v>
      </c>
      <c r="G305" s="33" t="b">
        <v>0</v>
      </c>
      <c r="H305" s="131">
        <v>62.3</v>
      </c>
      <c r="I305" s="131" t="s">
        <v>15</v>
      </c>
      <c r="L305" s="388">
        <v>1</v>
      </c>
    </row>
    <row r="306" spans="2:12" s="130" customFormat="1" ht="12.75">
      <c r="B306" s="130">
        <v>90</v>
      </c>
      <c r="C306" s="131">
        <v>93</v>
      </c>
      <c r="D306" s="132" t="str">
        <f t="shared" si="6"/>
        <v>90.93</v>
      </c>
      <c r="E306" s="34" t="str">
        <f>Translations!B220</f>
        <v>Sottoimpianto oggetto di un parametro di riferimento relativo al combustibile, CL</v>
      </c>
      <c r="F306" s="4" t="str">
        <f>EUconst_TJ</f>
        <v>TJ</v>
      </c>
      <c r="G306" s="33" t="b">
        <v>1</v>
      </c>
      <c r="H306" s="131">
        <v>56.1</v>
      </c>
      <c r="I306" s="131" t="s">
        <v>16</v>
      </c>
      <c r="L306" s="388">
        <v>1</v>
      </c>
    </row>
    <row r="307" spans="2:12" s="130" customFormat="1" ht="12.75">
      <c r="B307" s="130">
        <v>90</v>
      </c>
      <c r="C307" s="131">
        <v>94</v>
      </c>
      <c r="D307" s="132" t="str">
        <f t="shared" si="6"/>
        <v>90.94</v>
      </c>
      <c r="E307" s="34" t="str">
        <f>Translations!B221</f>
        <v>Sottoimpianto oggetto di un parametro di riferimento relativo al combustibile, non CL</v>
      </c>
      <c r="F307" s="4" t="str">
        <f>EUconst_TJ</f>
        <v>TJ</v>
      </c>
      <c r="G307" s="33" t="b">
        <v>0</v>
      </c>
      <c r="H307" s="131">
        <v>56.1</v>
      </c>
      <c r="I307" s="131" t="s">
        <v>16</v>
      </c>
      <c r="L307" s="388">
        <v>1</v>
      </c>
    </row>
    <row r="308" spans="2:12" s="130" customFormat="1" ht="12.75">
      <c r="B308" s="130">
        <v>90</v>
      </c>
      <c r="C308" s="131">
        <v>95</v>
      </c>
      <c r="D308" s="132" t="str">
        <f t="shared" si="6"/>
        <v>90.95</v>
      </c>
      <c r="E308" s="34" t="str">
        <f>Translations!B222</f>
        <v>Sottoimpianto con emissioni di processo, CL</v>
      </c>
      <c r="F308" s="4" t="str">
        <f>EUconst_tCO2e</f>
        <v>t CO2e</v>
      </c>
      <c r="G308" s="33" t="b">
        <v>1</v>
      </c>
      <c r="H308" s="131">
        <v>0.97</v>
      </c>
      <c r="I308" s="131" t="s">
        <v>17</v>
      </c>
      <c r="L308" s="388">
        <v>1</v>
      </c>
    </row>
    <row r="309" spans="2:12" s="130" customFormat="1" ht="12.75">
      <c r="B309" s="130">
        <v>90</v>
      </c>
      <c r="C309" s="131">
        <v>96</v>
      </c>
      <c r="D309" s="132" t="str">
        <f t="shared" si="6"/>
        <v>90.96</v>
      </c>
      <c r="E309" s="34" t="str">
        <f>Translations!B223</f>
        <v>Sottoimpianto con emissioni di processo, non CL</v>
      </c>
      <c r="F309" s="4" t="str">
        <f>EUconst_tCO2e</f>
        <v>t CO2e</v>
      </c>
      <c r="G309" s="33" t="b">
        <v>0</v>
      </c>
      <c r="H309" s="131">
        <v>0.97</v>
      </c>
      <c r="I309" s="131" t="s">
        <v>17</v>
      </c>
      <c r="L309" s="388">
        <v>1</v>
      </c>
    </row>
    <row r="310" s="118" customFormat="1" ht="12.75">
      <c r="A310" s="118" t="s">
        <v>9</v>
      </c>
    </row>
    <row r="311" spans="1:11" ht="12.75">
      <c r="A311" s="116"/>
      <c r="B311" s="116"/>
      <c r="C311" s="116"/>
      <c r="D311" s="116"/>
      <c r="E311" s="329" t="s">
        <v>11</v>
      </c>
      <c r="F311" s="329" t="s">
        <v>10</v>
      </c>
      <c r="G311" s="329" t="s">
        <v>30</v>
      </c>
      <c r="H311" s="116"/>
      <c r="I311" s="116"/>
      <c r="J311" s="116"/>
      <c r="K311" s="129"/>
    </row>
    <row r="312" spans="3:9" s="130" customFormat="1" ht="12.75">
      <c r="C312" s="131"/>
      <c r="D312" s="132"/>
      <c r="E312" s="360">
        <v>0</v>
      </c>
      <c r="F312" s="360">
        <v>1</v>
      </c>
      <c r="G312" s="328" t="s">
        <v>31</v>
      </c>
      <c r="H312" s="131"/>
      <c r="I312" s="131"/>
    </row>
    <row r="313" spans="3:9" s="130" customFormat="1" ht="12.75">
      <c r="C313" s="131"/>
      <c r="D313" s="132"/>
      <c r="E313" s="360">
        <v>0.5</v>
      </c>
      <c r="F313" s="360">
        <v>0.5</v>
      </c>
      <c r="G313" s="328" t="s">
        <v>32</v>
      </c>
      <c r="H313" s="131"/>
      <c r="I313" s="131"/>
    </row>
    <row r="314" spans="3:9" s="130" customFormat="1" ht="12.75">
      <c r="C314" s="131"/>
      <c r="D314" s="132"/>
      <c r="E314" s="360">
        <v>0.75</v>
      </c>
      <c r="F314" s="360">
        <v>0.25</v>
      </c>
      <c r="G314" s="328" t="s">
        <v>33</v>
      </c>
      <c r="H314" s="131"/>
      <c r="I314" s="131"/>
    </row>
    <row r="315" spans="3:9" s="130" customFormat="1" ht="12.75">
      <c r="C315" s="131"/>
      <c r="D315" s="132"/>
      <c r="E315" s="360">
        <v>0.9</v>
      </c>
      <c r="F315" s="360">
        <v>0</v>
      </c>
      <c r="G315" s="328" t="s">
        <v>34</v>
      </c>
      <c r="H315" s="131"/>
      <c r="I315" s="131"/>
    </row>
    <row r="316" s="118" customFormat="1" ht="12.75">
      <c r="A316" s="118" t="s">
        <v>26</v>
      </c>
    </row>
    <row r="317" spans="3:15" s="130" customFormat="1" ht="12.75">
      <c r="C317" s="90"/>
      <c r="D317" s="132"/>
      <c r="E317" s="4" t="str">
        <f>Translations!$B$166</f>
        <v>Prodotti di raffineria</v>
      </c>
      <c r="F317" s="4"/>
      <c r="G317" s="33"/>
      <c r="H317" s="131"/>
      <c r="I317" s="131"/>
      <c r="J317" s="361"/>
      <c r="M317" s="366"/>
      <c r="N317" s="366"/>
      <c r="O317" s="366"/>
    </row>
    <row r="318" spans="3:15" s="130" customFormat="1" ht="12.75">
      <c r="C318" s="90"/>
      <c r="D318" s="132"/>
      <c r="E318" s="4" t="str">
        <f>Translations!$B$167</f>
        <v>Coke</v>
      </c>
      <c r="F318" s="4"/>
      <c r="G318" s="33"/>
      <c r="H318" s="131"/>
      <c r="I318" s="131"/>
      <c r="M318" s="367"/>
      <c r="N318" s="367"/>
      <c r="O318" s="367"/>
    </row>
    <row r="319" spans="3:15" s="130" customFormat="1" ht="12.75">
      <c r="C319" s="90"/>
      <c r="D319" s="132"/>
      <c r="E319" s="4" t="str">
        <f>Translations!$B$168</f>
        <v>Minerale sinterizzato</v>
      </c>
      <c r="F319" s="4"/>
      <c r="G319" s="33"/>
      <c r="H319" s="131"/>
      <c r="I319" s="131"/>
      <c r="M319" s="367"/>
      <c r="N319" s="367"/>
      <c r="O319" s="367"/>
    </row>
    <row r="320" spans="3:15" s="130" customFormat="1" ht="12.75">
      <c r="C320" s="90"/>
      <c r="D320" s="132"/>
      <c r="E320" s="4" t="str">
        <f>Translations!$B$169</f>
        <v>Ghisa allo stato fuso</v>
      </c>
      <c r="F320" s="4"/>
      <c r="G320" s="33"/>
      <c r="H320" s="131"/>
      <c r="I320" s="131"/>
      <c r="M320" s="367"/>
      <c r="N320" s="367"/>
      <c r="O320" s="367"/>
    </row>
    <row r="321" spans="3:15" s="130" customFormat="1" ht="12.75">
      <c r="C321" s="90"/>
      <c r="D321" s="132"/>
      <c r="E321" s="4" t="str">
        <f>Translations!$B$170</f>
        <v>Acciaio al carbonio da forni elettrici ad arco (EAF)</v>
      </c>
      <c r="F321" s="4"/>
      <c r="G321" s="33"/>
      <c r="H321" s="131"/>
      <c r="I321" s="131"/>
      <c r="M321" s="367"/>
      <c r="N321" s="367"/>
      <c r="O321" s="367"/>
    </row>
    <row r="322" spans="3:15" s="130" customFormat="1" ht="12.75">
      <c r="C322" s="90"/>
      <c r="D322" s="132"/>
      <c r="E322" s="4" t="str">
        <f>Translations!$B$171</f>
        <v>Acciaio alto legato da EAF</v>
      </c>
      <c r="F322" s="4"/>
      <c r="G322" s="33"/>
      <c r="H322" s="131"/>
      <c r="I322" s="131"/>
      <c r="M322" s="367"/>
      <c r="N322" s="367"/>
      <c r="O322" s="367"/>
    </row>
    <row r="323" spans="3:15" s="130" customFormat="1" ht="12.75">
      <c r="C323" s="90"/>
      <c r="D323" s="132"/>
      <c r="E323" s="4" t="str">
        <f>Translations!$B$172</f>
        <v>Getto di ghisa</v>
      </c>
      <c r="F323" s="4"/>
      <c r="G323" s="33"/>
      <c r="H323" s="131"/>
      <c r="I323" s="131"/>
      <c r="M323" s="3"/>
      <c r="N323" s="3"/>
      <c r="O323" s="3"/>
    </row>
    <row r="324" spans="3:15" s="130" customFormat="1" ht="12.75">
      <c r="C324" s="90"/>
      <c r="D324" s="132"/>
      <c r="E324" s="4" t="str">
        <f>Translations!$B$173</f>
        <v>Anodo precotto</v>
      </c>
      <c r="F324" s="4"/>
      <c r="G324" s="33"/>
      <c r="H324" s="131"/>
      <c r="I324" s="131"/>
      <c r="M324" s="3"/>
      <c r="N324" s="3"/>
      <c r="O324" s="3"/>
    </row>
    <row r="325" spans="3:15" s="130" customFormat="1" ht="12.75">
      <c r="C325" s="90"/>
      <c r="D325" s="132"/>
      <c r="E325" s="4" t="str">
        <f>Translations!$B$174</f>
        <v>Alluminio [primario]</v>
      </c>
      <c r="F325" s="4"/>
      <c r="G325" s="33"/>
      <c r="H325" s="131"/>
      <c r="I325" s="131"/>
      <c r="M325" s="3"/>
      <c r="N325" s="3"/>
      <c r="O325" s="3"/>
    </row>
    <row r="326" spans="3:15" s="130" customFormat="1" ht="12.75">
      <c r="C326" s="90"/>
      <c r="D326" s="132"/>
      <c r="E326" s="4" t="str">
        <f>Translations!$B$175</f>
        <v>Clinker di cemento grigio</v>
      </c>
      <c r="F326" s="4"/>
      <c r="G326" s="33"/>
      <c r="H326" s="131"/>
      <c r="I326" s="131"/>
      <c r="M326" s="3"/>
      <c r="N326" s="3"/>
      <c r="O326" s="3"/>
    </row>
    <row r="327" spans="3:15" s="130" customFormat="1" ht="12.75">
      <c r="C327" s="90"/>
      <c r="D327" s="132"/>
      <c r="E327" s="4" t="str">
        <f>Translations!$B$176</f>
        <v>Clinker di cemento bianco</v>
      </c>
      <c r="F327" s="4"/>
      <c r="G327" s="33"/>
      <c r="H327" s="131"/>
      <c r="I327" s="131"/>
      <c r="M327" s="3"/>
      <c r="N327" s="3"/>
      <c r="O327" s="3"/>
    </row>
    <row r="328" spans="3:15" s="130" customFormat="1" ht="12.75">
      <c r="C328" s="90"/>
      <c r="D328" s="132"/>
      <c r="E328" s="4" t="str">
        <f>Translations!$B$177</f>
        <v>Calce</v>
      </c>
      <c r="F328" s="4"/>
      <c r="G328" s="33"/>
      <c r="H328" s="131"/>
      <c r="I328" s="131"/>
      <c r="M328" s="3"/>
      <c r="N328" s="3"/>
      <c r="O328" s="3"/>
    </row>
    <row r="329" spans="3:15" s="130" customFormat="1" ht="12.75">
      <c r="C329" s="90"/>
      <c r="D329" s="132"/>
      <c r="E329" s="4" t="str">
        <f>Translations!$B$178</f>
        <v>Calce dolomitica</v>
      </c>
      <c r="F329" s="4"/>
      <c r="G329" s="33"/>
      <c r="H329" s="131"/>
      <c r="I329" s="131"/>
      <c r="M329" s="3"/>
      <c r="N329" s="3"/>
      <c r="O329" s="3"/>
    </row>
    <row r="330" spans="3:15" s="130" customFormat="1" ht="12.75">
      <c r="C330" s="90"/>
      <c r="D330" s="132"/>
      <c r="E330" s="4" t="str">
        <f>Translations!$B$179</f>
        <v>Calce dolomitica sinterizzata</v>
      </c>
      <c r="F330" s="4"/>
      <c r="G330" s="33"/>
      <c r="H330" s="131"/>
      <c r="I330" s="131"/>
      <c r="M330" s="3"/>
      <c r="N330" s="3"/>
      <c r="O330" s="3"/>
    </row>
    <row r="331" spans="3:15" s="130" customFormat="1" ht="12.75">
      <c r="C331" s="90"/>
      <c r="D331" s="132"/>
      <c r="E331" s="4" t="str">
        <f>Translations!$B$180</f>
        <v>Cristallo flottato</v>
      </c>
      <c r="F331" s="4"/>
      <c r="G331" s="33"/>
      <c r="H331" s="131"/>
      <c r="I331" s="131"/>
      <c r="M331" s="3"/>
      <c r="N331" s="3"/>
      <c r="O331" s="3"/>
    </row>
    <row r="332" spans="3:15" s="130" customFormat="1" ht="12.75">
      <c r="C332" s="90"/>
      <c r="D332" s="132"/>
      <c r="E332" s="4" t="str">
        <f>Translations!$B$181</f>
        <v>Bottiglie e flaconi di vetro incolore</v>
      </c>
      <c r="F332" s="4"/>
      <c r="G332" s="33"/>
      <c r="H332" s="131"/>
      <c r="I332" s="131"/>
      <c r="M332" s="3"/>
      <c r="N332" s="3"/>
      <c r="O332" s="3"/>
    </row>
    <row r="333" spans="3:15" s="130" customFormat="1" ht="12.75">
      <c r="C333" s="90"/>
      <c r="D333" s="132"/>
      <c r="E333" s="4" t="str">
        <f>Translations!$B$182</f>
        <v>Bottiglie e flaconi di vetro colorato</v>
      </c>
      <c r="F333" s="4"/>
      <c r="G333" s="33"/>
      <c r="H333" s="131"/>
      <c r="I333" s="131"/>
      <c r="M333" s="3"/>
      <c r="N333" s="3"/>
      <c r="O333" s="3"/>
    </row>
    <row r="334" spans="3:15" s="130" customFormat="1" ht="12.75">
      <c r="C334" s="90"/>
      <c r="D334" s="132"/>
      <c r="E334" s="4" t="str">
        <f>Translations!$B$183</f>
        <v>Prodotti in fibra di vetro a filamento continuo</v>
      </c>
      <c r="F334" s="4"/>
      <c r="G334" s="33"/>
      <c r="H334" s="131"/>
      <c r="I334" s="131"/>
      <c r="M334" s="3"/>
      <c r="N334" s="3"/>
      <c r="O334" s="3"/>
    </row>
    <row r="335" spans="3:15" s="130" customFormat="1" ht="12.75">
      <c r="C335" s="90"/>
      <c r="D335" s="132"/>
      <c r="E335" s="4" t="str">
        <f>Translations!$B$184</f>
        <v>Mattoni faccia a vista</v>
      </c>
      <c r="F335" s="4"/>
      <c r="G335" s="33"/>
      <c r="H335" s="131"/>
      <c r="I335" s="131"/>
      <c r="M335" s="3"/>
      <c r="N335" s="3"/>
      <c r="O335" s="3"/>
    </row>
    <row r="336" spans="3:15" s="130" customFormat="1" ht="12.75">
      <c r="C336" s="90"/>
      <c r="D336" s="132"/>
      <c r="E336" s="4" t="str">
        <f>Translations!$B$185</f>
        <v>Mattoni per pavimentazione</v>
      </c>
      <c r="F336" s="4"/>
      <c r="G336" s="33"/>
      <c r="H336" s="131"/>
      <c r="I336" s="131"/>
      <c r="M336" s="3"/>
      <c r="N336" s="3"/>
      <c r="O336" s="3"/>
    </row>
    <row r="337" spans="3:15" s="130" customFormat="1" ht="12.75">
      <c r="C337" s="90"/>
      <c r="D337" s="132"/>
      <c r="E337" s="4" t="str">
        <f>Translations!$B$186</f>
        <v>Coperture in laterizio</v>
      </c>
      <c r="F337" s="4"/>
      <c r="G337" s="33"/>
      <c r="H337" s="131"/>
      <c r="I337" s="131"/>
      <c r="M337" s="3"/>
      <c r="N337" s="3"/>
      <c r="O337" s="3"/>
    </row>
    <row r="338" spans="3:15" s="130" customFormat="1" ht="12.75">
      <c r="C338" s="90"/>
      <c r="D338" s="132"/>
      <c r="E338" s="4" t="str">
        <f>Translations!$B$187</f>
        <v>Polvere atomizzata</v>
      </c>
      <c r="F338" s="4"/>
      <c r="G338" s="33"/>
      <c r="H338" s="131"/>
      <c r="I338" s="131"/>
      <c r="M338" s="3"/>
      <c r="N338" s="3"/>
      <c r="O338" s="3"/>
    </row>
    <row r="339" spans="3:15" s="130" customFormat="1" ht="12.75">
      <c r="C339" s="90"/>
      <c r="D339" s="132"/>
      <c r="E339" s="4" t="str">
        <f>Translations!$B$188</f>
        <v>Lana minerale</v>
      </c>
      <c r="F339" s="4"/>
      <c r="G339" s="33"/>
      <c r="H339" s="131"/>
      <c r="I339" s="131"/>
      <c r="M339" s="3"/>
      <c r="N339" s="3"/>
      <c r="O339" s="3"/>
    </row>
    <row r="340" spans="3:15" s="130" customFormat="1" ht="12.75">
      <c r="C340" s="90"/>
      <c r="D340" s="132"/>
      <c r="E340" s="4" t="str">
        <f>Translations!$B$189</f>
        <v>Gesso</v>
      </c>
      <c r="F340" s="4"/>
      <c r="G340" s="33"/>
      <c r="H340" s="131"/>
      <c r="I340" s="131"/>
      <c r="M340" s="3"/>
      <c r="N340" s="3"/>
      <c r="O340" s="3"/>
    </row>
    <row r="341" spans="3:15" s="130" customFormat="1" ht="12.75">
      <c r="C341" s="90"/>
      <c r="D341" s="132"/>
      <c r="E341" s="4" t="str">
        <f>Translations!$B$190</f>
        <v>Gesso secondario essiccato</v>
      </c>
      <c r="F341" s="4"/>
      <c r="G341" s="33"/>
      <c r="H341" s="131"/>
      <c r="I341" s="131"/>
      <c r="M341" s="3"/>
      <c r="N341" s="3"/>
      <c r="O341" s="3"/>
    </row>
    <row r="342" spans="3:15" s="130" customFormat="1" ht="12.75">
      <c r="C342" s="90"/>
      <c r="D342" s="132"/>
      <c r="E342" s="4" t="str">
        <f>Translations!$B$191</f>
        <v>Pannelli in cartongesso</v>
      </c>
      <c r="F342" s="4"/>
      <c r="G342" s="33"/>
      <c r="H342" s="131"/>
      <c r="I342" s="131"/>
      <c r="M342" s="3"/>
      <c r="N342" s="3"/>
      <c r="O342" s="3"/>
    </row>
    <row r="343" spans="3:15" s="130" customFormat="1" ht="12.75">
      <c r="C343" s="90"/>
      <c r="D343" s="132"/>
      <c r="E343" s="4" t="str">
        <f>Translations!$B$192</f>
        <v>Pasta kraft a fibre corte</v>
      </c>
      <c r="F343" s="4"/>
      <c r="G343" s="33"/>
      <c r="H343" s="131"/>
      <c r="I343" s="131"/>
      <c r="M343" s="3"/>
      <c r="N343" s="3"/>
      <c r="O343" s="3"/>
    </row>
    <row r="344" spans="3:15" s="130" customFormat="1" ht="12.75">
      <c r="C344" s="90"/>
      <c r="D344" s="132"/>
      <c r="E344" s="4" t="str">
        <f>Translations!$B$193</f>
        <v>Pasta kraft a fibre lunghe</v>
      </c>
      <c r="F344" s="4"/>
      <c r="G344" s="33"/>
      <c r="H344" s="131"/>
      <c r="I344" s="131"/>
      <c r="M344" s="3"/>
      <c r="N344" s="3"/>
      <c r="O344" s="3"/>
    </row>
    <row r="345" spans="3:15" s="130" customFormat="1" ht="12.75">
      <c r="C345" s="90"/>
      <c r="D345" s="132"/>
      <c r="E345" s="4" t="str">
        <f>Translations!$B$194</f>
        <v>Pasta al bisolfito, pasta termomeccanica e meccanica</v>
      </c>
      <c r="F345" s="4"/>
      <c r="G345" s="33"/>
      <c r="H345" s="131"/>
      <c r="I345" s="131"/>
      <c r="M345" s="3"/>
      <c r="N345" s="3"/>
      <c r="O345" s="3"/>
    </row>
    <row r="346" spans="3:15" s="130" customFormat="1" ht="12.75">
      <c r="C346" s="90"/>
      <c r="D346" s="132"/>
      <c r="E346" s="4" t="str">
        <f>Translations!$B$195</f>
        <v>Pasta di carta recuperata</v>
      </c>
      <c r="F346" s="4"/>
      <c r="G346" s="33"/>
      <c r="H346" s="131"/>
      <c r="I346" s="131"/>
      <c r="M346" s="3"/>
      <c r="N346" s="3"/>
      <c r="O346" s="3"/>
    </row>
    <row r="347" spans="3:15" s="130" customFormat="1" ht="12.75">
      <c r="C347" s="90"/>
      <c r="D347" s="132"/>
      <c r="E347" s="4" t="str">
        <f>Translations!$B$196</f>
        <v>Carta da giornale</v>
      </c>
      <c r="F347" s="4"/>
      <c r="G347" s="33"/>
      <c r="H347" s="131"/>
      <c r="I347" s="131"/>
      <c r="M347" s="3"/>
      <c r="N347" s="3"/>
      <c r="O347" s="3"/>
    </row>
    <row r="348" spans="3:15" s="130" customFormat="1" ht="12.75">
      <c r="C348" s="90"/>
      <c r="D348" s="132"/>
      <c r="E348" s="4" t="str">
        <f>Translations!$B$197</f>
        <v>Carta fine non patinata</v>
      </c>
      <c r="F348" s="4"/>
      <c r="G348" s="33"/>
      <c r="H348" s="131"/>
      <c r="I348" s="131"/>
      <c r="M348" s="3"/>
      <c r="N348" s="3"/>
      <c r="O348" s="3"/>
    </row>
    <row r="349" spans="3:15" s="130" customFormat="1" ht="12.75">
      <c r="C349" s="90"/>
      <c r="D349" s="132"/>
      <c r="E349" s="4" t="str">
        <f>Translations!$B$198</f>
        <v>Carta fine patinata</v>
      </c>
      <c r="F349" s="4"/>
      <c r="G349" s="33"/>
      <c r="H349" s="131"/>
      <c r="I349" s="131"/>
      <c r="M349" s="3"/>
      <c r="N349" s="3"/>
      <c r="O349" s="3"/>
    </row>
    <row r="350" spans="3:15" s="130" customFormat="1" ht="12.75">
      <c r="C350" s="90"/>
      <c r="D350" s="132"/>
      <c r="E350" s="4" t="str">
        <f>Translations!$B$199</f>
        <v>Carta tissue</v>
      </c>
      <c r="F350" s="4"/>
      <c r="G350" s="33"/>
      <c r="H350" s="131"/>
      <c r="I350" s="131"/>
      <c r="M350" s="3"/>
      <c r="N350" s="3"/>
      <c r="O350" s="3"/>
    </row>
    <row r="351" spans="3:15" s="130" customFormat="1" ht="12.75">
      <c r="C351" s="90"/>
      <c r="D351" s="132"/>
      <c r="E351" s="4" t="str">
        <f>Translations!$B$200</f>
        <v>Testliner e fluting</v>
      </c>
      <c r="F351" s="4"/>
      <c r="G351" s="33"/>
      <c r="H351" s="131"/>
      <c r="I351" s="131"/>
      <c r="M351" s="3"/>
      <c r="N351" s="3"/>
      <c r="O351" s="3"/>
    </row>
    <row r="352" spans="3:15" s="130" customFormat="1" ht="12.75">
      <c r="C352" s="90"/>
      <c r="D352" s="132"/>
      <c r="E352" s="4" t="str">
        <f>Translations!$B$201</f>
        <v>Cartone non patinato</v>
      </c>
      <c r="F352" s="4"/>
      <c r="G352" s="33"/>
      <c r="H352" s="131"/>
      <c r="I352" s="131"/>
      <c r="M352" s="3"/>
      <c r="N352" s="3"/>
      <c r="O352" s="3"/>
    </row>
    <row r="353" spans="3:15" s="130" customFormat="1" ht="12.75">
      <c r="C353" s="90"/>
      <c r="D353" s="132"/>
      <c r="E353" s="4" t="str">
        <f>Translations!$B$202</f>
        <v>Cartone patinato</v>
      </c>
      <c r="F353" s="4"/>
      <c r="G353" s="33"/>
      <c r="H353" s="131"/>
      <c r="I353" s="131"/>
      <c r="M353" s="3"/>
      <c r="N353" s="3"/>
      <c r="O353" s="3"/>
    </row>
    <row r="354" spans="3:15" s="130" customFormat="1" ht="12.75">
      <c r="C354" s="90"/>
      <c r="D354" s="132"/>
      <c r="E354" s="4" t="str">
        <f>Translations!$B$203</f>
        <v>Nerofumo (carbon black)</v>
      </c>
      <c r="F354" s="4"/>
      <c r="G354" s="33"/>
      <c r="H354" s="131"/>
      <c r="I354" s="131"/>
      <c r="M354" s="3"/>
      <c r="N354" s="3"/>
      <c r="O354" s="3"/>
    </row>
    <row r="355" spans="3:15" s="130" customFormat="1" ht="12.75">
      <c r="C355" s="90"/>
      <c r="D355" s="132"/>
      <c r="E355" s="4" t="str">
        <f>Translations!$B$204</f>
        <v>Acido nitrico</v>
      </c>
      <c r="F355" s="4"/>
      <c r="G355" s="33"/>
      <c r="H355" s="131"/>
      <c r="I355" s="131"/>
      <c r="M355" s="3"/>
      <c r="N355" s="3"/>
      <c r="O355" s="3"/>
    </row>
    <row r="356" spans="3:15" s="130" customFormat="1" ht="12.75">
      <c r="C356" s="90"/>
      <c r="D356" s="132"/>
      <c r="E356" s="4" t="str">
        <f>Translations!$B$205</f>
        <v>Acido adipico</v>
      </c>
      <c r="F356" s="4"/>
      <c r="G356" s="33"/>
      <c r="H356" s="131"/>
      <c r="I356" s="131"/>
      <c r="M356" s="3"/>
      <c r="N356" s="3"/>
      <c r="O356" s="3"/>
    </row>
    <row r="357" spans="3:15" s="130" customFormat="1" ht="12.75">
      <c r="C357" s="90"/>
      <c r="D357" s="132"/>
      <c r="E357" s="4" t="str">
        <f>Translations!$B$206</f>
        <v>Ammoniaca</v>
      </c>
      <c r="F357" s="4"/>
      <c r="G357" s="33"/>
      <c r="H357" s="131"/>
      <c r="I357" s="131"/>
      <c r="M357" s="3"/>
      <c r="N357" s="3"/>
      <c r="O357" s="3"/>
    </row>
    <row r="358" spans="3:15" s="130" customFormat="1" ht="12.75">
      <c r="C358" s="90"/>
      <c r="D358" s="132"/>
      <c r="E358" s="4" t="str">
        <f>Translations!$B$207</f>
        <v>Cracking con vapore</v>
      </c>
      <c r="F358" s="4"/>
      <c r="G358" s="33"/>
      <c r="H358" s="131"/>
      <c r="I358" s="131"/>
      <c r="M358" s="3"/>
      <c r="N358" s="3"/>
      <c r="O358" s="3"/>
    </row>
    <row r="359" spans="3:15" s="130" customFormat="1" ht="12.75">
      <c r="C359" s="90"/>
      <c r="D359" s="132"/>
      <c r="E359" s="4" t="str">
        <f>Translations!$B$208</f>
        <v>Idrocarburi aromatici</v>
      </c>
      <c r="F359" s="4"/>
      <c r="G359" s="33"/>
      <c r="H359" s="131"/>
      <c r="I359" s="131"/>
      <c r="M359" s="3"/>
      <c r="N359" s="3"/>
      <c r="O359" s="3"/>
    </row>
    <row r="360" spans="3:15" s="130" customFormat="1" ht="12.75">
      <c r="C360" s="90"/>
      <c r="D360" s="132"/>
      <c r="E360" s="4" t="str">
        <f>Translations!$B$209</f>
        <v>Stirene</v>
      </c>
      <c r="F360" s="4"/>
      <c r="G360" s="33"/>
      <c r="H360" s="131"/>
      <c r="I360" s="131"/>
      <c r="M360" s="3"/>
      <c r="N360" s="3"/>
      <c r="O360" s="3"/>
    </row>
    <row r="361" spans="3:15" s="130" customFormat="1" ht="12.75">
      <c r="C361" s="90"/>
      <c r="D361" s="132"/>
      <c r="E361" s="4" t="str">
        <f>Translations!$B$210</f>
        <v>Fenolo/acetone</v>
      </c>
      <c r="F361" s="4"/>
      <c r="G361" s="33"/>
      <c r="H361" s="131"/>
      <c r="I361" s="131"/>
      <c r="M361" s="3"/>
      <c r="N361" s="3"/>
      <c r="O361" s="3"/>
    </row>
    <row r="362" spans="3:15" s="130" customFormat="1" ht="12.75">
      <c r="C362" s="90"/>
      <c r="D362" s="132"/>
      <c r="E362" s="4" t="str">
        <f>Translations!$B$211</f>
        <v>Ossido di etilene/glicoli etilenici</v>
      </c>
      <c r="F362" s="4"/>
      <c r="G362" s="33"/>
      <c r="H362" s="131"/>
      <c r="I362" s="131"/>
      <c r="M362" s="3"/>
      <c r="N362" s="3"/>
      <c r="O362" s="3"/>
    </row>
    <row r="363" spans="3:15" s="130" customFormat="1" ht="12.75">
      <c r="C363" s="90"/>
      <c r="D363" s="132"/>
      <c r="E363" s="4" t="str">
        <f>Translations!$B$212</f>
        <v>Cloruro di vinile monomero (VCM)</v>
      </c>
      <c r="F363" s="4"/>
      <c r="G363" s="33"/>
      <c r="H363" s="131"/>
      <c r="I363" s="131"/>
      <c r="M363" s="3"/>
      <c r="N363" s="3"/>
      <c r="O363" s="3"/>
    </row>
    <row r="364" spans="3:15" s="130" customFormat="1" ht="12.75">
      <c r="C364" s="90"/>
      <c r="D364" s="132"/>
      <c r="E364" s="4" t="str">
        <f>Translations!$B$213</f>
        <v>S-PVC</v>
      </c>
      <c r="F364" s="4"/>
      <c r="G364" s="33"/>
      <c r="H364" s="131"/>
      <c r="I364" s="131"/>
      <c r="M364" s="3"/>
      <c r="N364" s="3"/>
      <c r="O364" s="3"/>
    </row>
    <row r="365" spans="3:15" s="130" customFormat="1" ht="12.75">
      <c r="C365" s="90"/>
      <c r="D365" s="132"/>
      <c r="E365" s="4" t="str">
        <f>Translations!$B$214</f>
        <v>E-PVC</v>
      </c>
      <c r="F365" s="4"/>
      <c r="G365" s="33"/>
      <c r="H365" s="131"/>
      <c r="I365" s="131"/>
      <c r="M365" s="3"/>
      <c r="N365" s="3"/>
      <c r="O365" s="3"/>
    </row>
    <row r="366" spans="3:15" s="130" customFormat="1" ht="12.75">
      <c r="C366" s="90"/>
      <c r="D366" s="132"/>
      <c r="E366" s="4" t="str">
        <f>Translations!$B$215</f>
        <v>Idrogeno</v>
      </c>
      <c r="F366" s="4"/>
      <c r="G366" s="33"/>
      <c r="H366" s="131"/>
      <c r="I366" s="131"/>
      <c r="M366" s="3"/>
      <c r="N366" s="3"/>
      <c r="O366" s="3"/>
    </row>
    <row r="367" spans="3:15" s="130" customFormat="1" ht="12.75">
      <c r="C367" s="90"/>
      <c r="D367" s="132"/>
      <c r="E367" s="4" t="str">
        <f>Translations!$B$216</f>
        <v>Gas di sintesi</v>
      </c>
      <c r="F367" s="4"/>
      <c r="G367" s="33"/>
      <c r="H367" s="131"/>
      <c r="I367" s="131"/>
      <c r="M367" s="3"/>
      <c r="N367" s="3"/>
      <c r="O367" s="3"/>
    </row>
    <row r="368" spans="3:15" s="130" customFormat="1" ht="12.75">
      <c r="C368" s="90"/>
      <c r="D368" s="132"/>
      <c r="E368" s="4" t="str">
        <f>Translations!$B$217</f>
        <v>Soda</v>
      </c>
      <c r="F368" s="4"/>
      <c r="G368" s="33"/>
      <c r="H368" s="131"/>
      <c r="I368" s="131"/>
      <c r="M368" s="3"/>
      <c r="N368" s="3"/>
      <c r="O368" s="3"/>
    </row>
    <row r="369" spans="3:15" s="130" customFormat="1" ht="12.75">
      <c r="C369" s="90"/>
      <c r="D369" s="132"/>
      <c r="E369" s="34" t="str">
        <f>Translations!$B$218</f>
        <v>Sottoimpianto oggetto di un parametro di riferimento relativo al calore, CL</v>
      </c>
      <c r="F369" s="4"/>
      <c r="G369" s="33"/>
      <c r="H369" s="131"/>
      <c r="I369" s="131"/>
      <c r="M369" s="3"/>
      <c r="N369" s="3"/>
      <c r="O369" s="3"/>
    </row>
    <row r="370" spans="3:15" s="130" customFormat="1" ht="12.75">
      <c r="C370" s="90"/>
      <c r="D370" s="132"/>
      <c r="E370" s="34" t="str">
        <f>Translations!$B$219</f>
        <v>Sottoimpianto oggetto di un parametro di riferimento relativo al calore, non CL</v>
      </c>
      <c r="F370" s="4"/>
      <c r="G370" s="33"/>
      <c r="H370" s="131"/>
      <c r="I370" s="131"/>
      <c r="M370" s="3"/>
      <c r="N370" s="3"/>
      <c r="O370" s="3"/>
    </row>
    <row r="371" spans="3:15" s="130" customFormat="1" ht="12.75">
      <c r="C371" s="90"/>
      <c r="D371" s="132"/>
      <c r="E371" s="34" t="str">
        <f>Translations!$B$220</f>
        <v>Sottoimpianto oggetto di un parametro di riferimento relativo al combustibile, CL</v>
      </c>
      <c r="F371" s="4"/>
      <c r="G371" s="33"/>
      <c r="H371" s="131"/>
      <c r="I371" s="131"/>
      <c r="M371" s="3"/>
      <c r="N371" s="3"/>
      <c r="O371" s="3"/>
    </row>
    <row r="372" spans="3:15" s="130" customFormat="1" ht="12.75">
      <c r="C372" s="90"/>
      <c r="D372" s="132"/>
      <c r="E372" s="34" t="str">
        <f>Translations!$B$221</f>
        <v>Sottoimpianto oggetto di un parametro di riferimento relativo al combustibile, non CL</v>
      </c>
      <c r="F372" s="4"/>
      <c r="G372" s="33"/>
      <c r="H372" s="131"/>
      <c r="I372" s="131"/>
      <c r="M372" s="3"/>
      <c r="N372" s="3"/>
      <c r="O372" s="3"/>
    </row>
    <row r="373" spans="3:15" s="130" customFormat="1" ht="12.75">
      <c r="C373" s="90"/>
      <c r="D373" s="132"/>
      <c r="E373" s="34" t="str">
        <f>Translations!$B$222</f>
        <v>Sottoimpianto con emissioni di processo, CL</v>
      </c>
      <c r="F373" s="4"/>
      <c r="G373" s="33"/>
      <c r="H373" s="131"/>
      <c r="I373" s="131"/>
      <c r="M373" s="3"/>
      <c r="N373" s="3"/>
      <c r="O373" s="3"/>
    </row>
    <row r="374" spans="3:15" s="130" customFormat="1" ht="12.75">
      <c r="C374" s="90"/>
      <c r="D374" s="132"/>
      <c r="E374" s="34" t="str">
        <f>Translations!$B$223</f>
        <v>Sottoimpianto con emissioni di processo, non CL</v>
      </c>
      <c r="F374" s="4"/>
      <c r="G374" s="33"/>
      <c r="H374" s="131"/>
      <c r="I374" s="131"/>
      <c r="M374" s="3"/>
      <c r="N374" s="3"/>
      <c r="O374" s="3"/>
    </row>
    <row r="375" spans="3:15" s="130" customFormat="1" ht="12.75">
      <c r="C375" s="90"/>
      <c r="D375" s="132"/>
      <c r="E375" s="4"/>
      <c r="F375" s="4"/>
      <c r="G375" s="33"/>
      <c r="H375" s="131"/>
      <c r="I375" s="131"/>
      <c r="M375" s="3"/>
      <c r="N375" s="3"/>
      <c r="O375" s="3"/>
    </row>
    <row r="376" spans="1:17" ht="12.75">
      <c r="A376" s="127" t="s">
        <v>57</v>
      </c>
      <c r="B376" s="128" t="s">
        <v>57</v>
      </c>
      <c r="C376" s="128" t="s">
        <v>57</v>
      </c>
      <c r="D376" s="128" t="s">
        <v>57</v>
      </c>
      <c r="E376" s="128" t="s">
        <v>57</v>
      </c>
      <c r="F376" s="128" t="s">
        <v>57</v>
      </c>
      <c r="G376" s="128" t="s">
        <v>57</v>
      </c>
      <c r="H376" s="128" t="s">
        <v>57</v>
      </c>
      <c r="I376" s="128" t="s">
        <v>57</v>
      </c>
      <c r="J376" s="128" t="s">
        <v>57</v>
      </c>
      <c r="K376" s="128" t="s">
        <v>57</v>
      </c>
      <c r="L376" s="128" t="s">
        <v>57</v>
      </c>
      <c r="M376" s="128" t="s">
        <v>57</v>
      </c>
      <c r="N376" s="128" t="s">
        <v>57</v>
      </c>
      <c r="O376" s="128" t="s">
        <v>57</v>
      </c>
      <c r="P376" s="128" t="s">
        <v>57</v>
      </c>
      <c r="Q376" s="128" t="s">
        <v>57</v>
      </c>
    </row>
  </sheetData>
  <sheetProtection sheet="1" objects="1" scenarios="1" formatCells="0" formatColumns="0" formatRows="0"/>
  <printOptions/>
  <pageMargins left="0.787401575" right="0.787401575" top="0.984251969" bottom="0.984251969" header="0.4921259845" footer="0.4921259845"/>
  <pageSetup fitToHeight="4" fitToWidth="1" horizontalDpi="600" verticalDpi="600" orientation="portrait" paperSize="9" scale="22"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tool for New Entrant applications under the EU ETS</dc:title>
  <dc:subject/>
  <dc:creator>Heller Christian</dc:creator>
  <cp:keywords/>
  <dc:description>Template developed by Umweltbundesamt GmbH (Austria) for DG CLIMA
Authors: Christian Heller / H. Fallmann</dc:description>
  <cp:lastModifiedBy>MauriciMRA</cp:lastModifiedBy>
  <cp:lastPrinted>2012-06-06T09:36:33Z</cp:lastPrinted>
  <dcterms:created xsi:type="dcterms:W3CDTF">2008-05-26T08:52:55Z</dcterms:created>
  <dcterms:modified xsi:type="dcterms:W3CDTF">2016-03-22T08:24:11Z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